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firstSheet="13" activeTab="13"/>
  </bookViews>
  <sheets>
    <sheet name="COP TUXTLA" sheetId="1" r:id="rId1"/>
    <sheet name="ISRAbril2021" sheetId="2" r:id="rId2"/>
    <sheet name="calculo ISR Febrero" sheetId="3" state="hidden" r:id="rId3"/>
    <sheet name="calculo ISR OCT" sheetId="4" state="hidden" r:id="rId4"/>
    <sheet name="calculo ISR SEP " sheetId="5" state="hidden" r:id="rId5"/>
    <sheet name="calculo ISR" sheetId="6" state="hidden" r:id="rId6"/>
    <sheet name="31 DE AGOSTO" sheetId="7" state="hidden" r:id="rId7"/>
    <sheet name="30 DE SEPTIEMBRE " sheetId="8" state="hidden" r:id="rId8"/>
    <sheet name="MENSUAL DIC" sheetId="9" state="hidden" r:id="rId9"/>
    <sheet name="29febrero" sheetId="10" state="hidden" r:id="rId10"/>
    <sheet name="1a semana" sheetId="11" r:id="rId11"/>
    <sheet name="2a semana" sheetId="12" r:id="rId12"/>
    <sheet name="3a semana" sheetId="13" r:id="rId13"/>
    <sheet name="4a semana" sheetId="14" r:id="rId14"/>
    <sheet name="modsalario2021" sheetId="15" r:id="rId15"/>
    <sheet name="15febrero" sheetId="16" state="hidden" r:id="rId16"/>
    <sheet name="30 DE NOVIEMBRE " sheetId="17" state="hidden" r:id="rId17"/>
    <sheet name="15 DE NOVIEMBRE" sheetId="18" state="hidden" r:id="rId18"/>
    <sheet name="31 DE OCTUBRE " sheetId="19" state="hidden" r:id="rId19"/>
    <sheet name="15 DE OCTUBRE " sheetId="20" state="hidden" r:id="rId20"/>
    <sheet name="15 DE SEPTIEMBRE" sheetId="21" state="hidden" r:id="rId21"/>
    <sheet name="15 DE AGOSTO " sheetId="22" state="hidden" r:id="rId22"/>
    <sheet name="31 JULIO" sheetId="23" state="hidden" r:id="rId23"/>
    <sheet name="15 JULIO " sheetId="24" state="hidden" r:id="rId24"/>
  </sheets>
  <definedNames>
    <definedName name="_xlfn._FV" hidden="1">#NAME?</definedName>
    <definedName name="_xlnm.Print_Area" localSheetId="21">'15 DE AGOSTO '!$A$1:$Z$22</definedName>
    <definedName name="_xlnm.Print_Area" localSheetId="17">'15 DE NOVIEMBRE'!$A$1:$Z$36</definedName>
    <definedName name="_xlnm.Print_Area" localSheetId="19">'15 DE OCTUBRE '!$A$1:$Z$38</definedName>
    <definedName name="_xlnm.Print_Area" localSheetId="20">'15 DE SEPTIEMBRE'!$A$1:$Z$22</definedName>
    <definedName name="_xlnm.Print_Area" localSheetId="23">'15 JULIO '!$A$1:$Z$22</definedName>
    <definedName name="_xlnm.Print_Area" localSheetId="15">'15febrero'!$A$1:$Z$34</definedName>
    <definedName name="_xlnm.Print_Area" localSheetId="9">'29febrero'!$A$1:$Z$35</definedName>
    <definedName name="_xlnm.Print_Area" localSheetId="16">'30 DE NOVIEMBRE '!$A$1:$Z$36</definedName>
    <definedName name="_xlnm.Print_Area" localSheetId="7">'30 DE SEPTIEMBRE '!$A$1:$Z$35</definedName>
    <definedName name="_xlnm.Print_Area" localSheetId="6">'31 DE AGOSTO'!$A$1:$Z$34</definedName>
    <definedName name="_xlnm.Print_Area" localSheetId="18">'31 DE OCTUBRE '!$A$1:$Z$38</definedName>
    <definedName name="_xlnm.Print_Area" localSheetId="22">'31 JULIO'!$A$1:$Z$20</definedName>
    <definedName name="_xlnm.Print_Area" localSheetId="0">'COP TUXTLA'!$A$3:$V$30</definedName>
    <definedName name="_xlnm.Print_Area" localSheetId="8">'MENSUAL DIC'!$A$1:$X$36</definedName>
  </definedNames>
  <calcPr fullCalcOnLoad="1"/>
</workbook>
</file>

<file path=xl/sharedStrings.xml><?xml version="1.0" encoding="utf-8"?>
<sst xmlns="http://schemas.openxmlformats.org/spreadsheetml/2006/main" count="2184" uniqueCount="297">
  <si>
    <t>DIAS TRABAJADOS</t>
  </si>
  <si>
    <t>SALARIO DIARIO</t>
  </si>
  <si>
    <t>DEDUCCIONES</t>
  </si>
  <si>
    <t>TRABAJADOR</t>
  </si>
  <si>
    <t xml:space="preserve">E      N      F      E      R      M      E      D      A      D      E      S                          Y                       M      A      T      E      R      N      I      D      A      D  </t>
  </si>
  <si>
    <t>INVALIDEZ Y VIDA</t>
  </si>
  <si>
    <t>R.T.</t>
  </si>
  <si>
    <t>GUARDERÍAS</t>
  </si>
  <si>
    <t>TOTAL</t>
  </si>
  <si>
    <t>RETIRO</t>
  </si>
  <si>
    <t>C   Y   V</t>
  </si>
  <si>
    <t>SUMA</t>
  </si>
  <si>
    <t>INFONAVIT</t>
  </si>
  <si>
    <t>excedente de los 3  SMGDF</t>
  </si>
  <si>
    <t>PRESTACIONES EN DINERO</t>
  </si>
  <si>
    <t>PREST. GASTOS MÉDICOS</t>
  </si>
  <si>
    <t>SBC</t>
  </si>
  <si>
    <t>D. COT.</t>
  </si>
  <si>
    <t>DIAS COT.</t>
  </si>
  <si>
    <t>CUOTA FIJA</t>
  </si>
  <si>
    <t>P= 1.1. %</t>
  </si>
  <si>
    <t>O= 0.40%</t>
  </si>
  <si>
    <t>P= 0.70%</t>
  </si>
  <si>
    <t>O= 0.25%</t>
  </si>
  <si>
    <t>P= 1.05%</t>
  </si>
  <si>
    <t>O= 0.375%</t>
  </si>
  <si>
    <t>P= 1.75%</t>
  </si>
  <si>
    <t>O= 0.625%</t>
  </si>
  <si>
    <t>P= 3.150%</t>
  </si>
  <si>
    <t>O= 1.125%</t>
  </si>
  <si>
    <t>SUBTOTAL</t>
  </si>
  <si>
    <t>R.F.C.</t>
  </si>
  <si>
    <t>IMPULSORA ORGANIZACIONAL, S.C.</t>
  </si>
  <si>
    <t>SEDE</t>
  </si>
  <si>
    <t>NOMBRE</t>
  </si>
  <si>
    <t>CURP</t>
  </si>
  <si>
    <t>SEGURIDAD SOCIAL</t>
  </si>
  <si>
    <t>No. SEGURIDAD SOCIAL</t>
  </si>
  <si>
    <t>CREDITO INFONAVIT</t>
  </si>
  <si>
    <t>SALARIO BASE DE COTIZACION</t>
  </si>
  <si>
    <t>PERCEPCIONES</t>
  </si>
  <si>
    <t>SUELDO</t>
  </si>
  <si>
    <t>PREMIO DE ASISTENCIA</t>
  </si>
  <si>
    <t>VALE DE DESPENSA</t>
  </si>
  <si>
    <t>TOTAL DE PERCEPCION</t>
  </si>
  <si>
    <t>ISR DETERMINADO</t>
  </si>
  <si>
    <t>SUB EMPLEO APLICADO</t>
  </si>
  <si>
    <t>ISR RETENIDO</t>
  </si>
  <si>
    <t>SUB PAGADO</t>
  </si>
  <si>
    <t>AMORTIZACION INFONAVIT</t>
  </si>
  <si>
    <t>TOTAL DEDUCCIONES</t>
  </si>
  <si>
    <t>PERCEPCION NETA</t>
  </si>
  <si>
    <t>PREMIO PUNTUALIDAD</t>
  </si>
  <si>
    <t>BASE</t>
  </si>
  <si>
    <t>COMISION</t>
  </si>
  <si>
    <t>IMPTO S/NOMINA</t>
  </si>
  <si>
    <t>MATRIZ COLORES LIQUIDOS</t>
  </si>
  <si>
    <t>PENSIL</t>
  </si>
  <si>
    <t>DANIEL CORTES PEREZ</t>
  </si>
  <si>
    <t>X</t>
  </si>
  <si>
    <t>BONO DE PRODUCTIVIDAD</t>
  </si>
  <si>
    <t>BONO DE PROD</t>
  </si>
  <si>
    <t>16% IVA</t>
  </si>
  <si>
    <t>DIAS DE AGUINALDO</t>
  </si>
  <si>
    <t xml:space="preserve">FACTOR DE INTEGRACIÓN </t>
  </si>
  <si>
    <t xml:space="preserve">PARTE FIJA </t>
  </si>
  <si>
    <t xml:space="preserve">PARTE  VARIABLE </t>
  </si>
  <si>
    <t>FELIPE PEREZ HERNANDEZ</t>
  </si>
  <si>
    <t>JOSE ALBERTO GONZALEZ PEREZ</t>
  </si>
  <si>
    <t>LUIS MIGUEL LOPEZ ESCOBEDO</t>
  </si>
  <si>
    <t xml:space="preserve">TARJETA DE NÓMINA </t>
  </si>
  <si>
    <t>GOPA890224584</t>
  </si>
  <si>
    <t>GOPA890224HCSNRL00</t>
  </si>
  <si>
    <t>PEHF830502DJ2</t>
  </si>
  <si>
    <t>LOEL840901CQA</t>
  </si>
  <si>
    <t>COPD710805</t>
  </si>
  <si>
    <t>COPD710805HCSRRN09</t>
  </si>
  <si>
    <t>Total Neto</t>
  </si>
  <si>
    <t>PEHF830502HCSRRL04</t>
  </si>
  <si>
    <t>LOEL840901HCSPSS09</t>
  </si>
  <si>
    <t>colores liquidos</t>
  </si>
  <si>
    <t>JORGE LUIS VELAZQUEZ LOPEZ</t>
  </si>
  <si>
    <t>VALJ860724</t>
  </si>
  <si>
    <t>VALJ760724HCSZPR08</t>
  </si>
  <si>
    <t>LEIBER ARMANDO HERNANDEZ SHILON</t>
  </si>
  <si>
    <t>SOLR890901</t>
  </si>
  <si>
    <t>SOLR890901MCSLPS00</t>
  </si>
  <si>
    <t>ROSARIO DEL CARMEN SOLIS LOPEZ</t>
  </si>
  <si>
    <t>HESL950724</t>
  </si>
  <si>
    <t>HESL950724HCSRHB08</t>
  </si>
  <si>
    <t>MENSUAL</t>
  </si>
  <si>
    <t>DESCUENTO</t>
  </si>
  <si>
    <t xml:space="preserve">CARLOS MAGNO SÁNCHEZ LÓPEZ </t>
  </si>
  <si>
    <t xml:space="preserve">CHEQUE </t>
  </si>
  <si>
    <t>SAGC840815HCSNMR04</t>
  </si>
  <si>
    <t>SAGC840815</t>
  </si>
  <si>
    <t>NOMINA DE SUELDO CORRESPONDIENTE DEL 1  AL 15 DE JULIO  2011</t>
  </si>
  <si>
    <t xml:space="preserve">depositar a la cuenta de salvador </t>
  </si>
  <si>
    <t>ARTICULO 113 IMPUESTO</t>
  </si>
  <si>
    <t>Limite Inferior</t>
  </si>
  <si>
    <t>Limite Superior</t>
  </si>
  <si>
    <t>Cuota Fija</t>
  </si>
  <si>
    <t>% p/aplicarse sobre el excedente de L.I.</t>
  </si>
  <si>
    <t>En adelante</t>
  </si>
  <si>
    <t>ARTICULO 8 SUBSIDIO AL EMPLEO</t>
  </si>
  <si>
    <t>Subsidio para el empleo mensual</t>
  </si>
  <si>
    <t>Num Empleado</t>
  </si>
  <si>
    <t>Nombre del Elemento</t>
  </si>
  <si>
    <t>Ingresos Total</t>
  </si>
  <si>
    <t xml:space="preserve">Ingreso Exento </t>
  </si>
  <si>
    <t>Base Gravable</t>
  </si>
  <si>
    <t>BaseISR</t>
  </si>
  <si>
    <t>Excedente L.I.</t>
  </si>
  <si>
    <t>% s/excedente</t>
  </si>
  <si>
    <t>Impuesto Marginal</t>
  </si>
  <si>
    <t>ISR</t>
  </si>
  <si>
    <t>Subsidio al empleo</t>
  </si>
  <si>
    <t>subsidio</t>
  </si>
  <si>
    <t>1a Quincena</t>
  </si>
  <si>
    <t>2a. Quincena</t>
  </si>
  <si>
    <t>COLORES LIQUIDOS DE TUXTLA</t>
  </si>
  <si>
    <t>NOMINA DE SUELDO CORRESPONDIENTE DEL 16  AL 31 DE JULIO  2011</t>
  </si>
  <si>
    <t>NOMINA DE SUELDO CORRESPONDIENTE DEL 1  AL 15 DE AGOSTO  2011</t>
  </si>
  <si>
    <t>QUINCENAL</t>
  </si>
  <si>
    <t>Tarifa aplicable cuando hagan pagos que correspondan a un periodo quincenal, correspondiente a 2011.</t>
  </si>
  <si>
    <t>Límite inferior</t>
  </si>
  <si>
    <t>Límite superior</t>
  </si>
  <si>
    <t>Cuota fija</t>
  </si>
  <si>
    <t>Por ciento para aplicarse sobre</t>
  </si>
  <si>
    <t>el excedente del límite inferior</t>
  </si>
  <si>
    <t>$</t>
  </si>
  <si>
    <t>%</t>
  </si>
  <si>
    <t>Tabla del subsidio para el empleo aplicable a la tarifa del numeral 4 del rubro B.</t>
  </si>
  <si>
    <t>Monto de ingresos que sirven de base para calcular el impuesto</t>
  </si>
  <si>
    <t>Para Ingresos de</t>
  </si>
  <si>
    <t>Hasta Ingresos de</t>
  </si>
  <si>
    <t>Cantidad de subsidio para el empleo quincenal</t>
  </si>
  <si>
    <t>NOMINA DE SUELDO CORRESPONDIENTE DEL 16  AL 30 DE SEPTIEMBRE  2011</t>
  </si>
  <si>
    <t>NOMINA DE SUELDO CORRESPONDIENTE DEL 1  AL 15 DE OCTUBRE   2011</t>
  </si>
  <si>
    <t>NOMINA DE SUELDO CORRESPONDIENTE DEL 16  AL 31 DE OCTUBRE   2011</t>
  </si>
  <si>
    <t>NOMINA DE SUELDO CORRESPONDIENTE DEL 1  AL 15 DE NOVIEMBRE   2011</t>
  </si>
  <si>
    <t>CONCEPTOS</t>
  </si>
  <si>
    <t>NOMINA DE SUELDO CORRESPONDIENTE DEL 16  AL 30 DE NOVIEMBRE   2011</t>
  </si>
  <si>
    <t>NOMINA DE SUELDO CORRESPONDIENTE DEL 1  AL 31 DE DICIEMBRE  2011</t>
  </si>
  <si>
    <t xml:space="preserve">1A QUINCENA </t>
  </si>
  <si>
    <t>AGUNAILDO</t>
  </si>
  <si>
    <t xml:space="preserve">2A QUINCENA </t>
  </si>
  <si>
    <t>TOTAL GRAVADO</t>
  </si>
  <si>
    <t>AGUINALDO GRAVADO</t>
  </si>
  <si>
    <t>NOMINA DE SUELDO CORRESPONDIENTE DEL 16  AL 29 DE FEBRERO  2012</t>
  </si>
  <si>
    <t>NOMINA DE SUELDO CORRESPONDIENTE DEL 1  AL 15 DE FEBRERO  2012</t>
  </si>
  <si>
    <t>total a depositar</t>
  </si>
  <si>
    <t>VEMG720123HCSLNL08</t>
  </si>
  <si>
    <t>GORE881124</t>
  </si>
  <si>
    <t>fondo de ahorro</t>
  </si>
  <si>
    <t>prestamo</t>
  </si>
  <si>
    <t>total descuento</t>
  </si>
  <si>
    <t>Total Neto a Pagar</t>
  </si>
  <si>
    <t>AGUINALDO</t>
  </si>
  <si>
    <t>EIGR890402HCSSLC06</t>
  </si>
  <si>
    <t>GORE881124HCSMDM02</t>
  </si>
  <si>
    <t>FACTOR DE AGUINALDO</t>
  </si>
  <si>
    <t>FACTOR DE PRIMA VACACIONAL</t>
  </si>
  <si>
    <t>CUOTA OBREO IMSS</t>
  </si>
  <si>
    <t>LAGM780425HCSRRR05</t>
  </si>
  <si>
    <t>LAGM780425FZ2</t>
  </si>
  <si>
    <t>préstamo</t>
  </si>
  <si>
    <t>CUOTA OBRERO IMSS</t>
  </si>
  <si>
    <t>DIA DESCANSO</t>
  </si>
  <si>
    <t>AMORTIZACION FONACOT</t>
  </si>
  <si>
    <t>VACACIONES</t>
  </si>
  <si>
    <t>MOCJ960423650</t>
  </si>
  <si>
    <t>MOCJ960423HCSRHM09</t>
  </si>
  <si>
    <t>OAGM770905RZ9</t>
  </si>
  <si>
    <t>OAGM770905HCSRMS02</t>
  </si>
  <si>
    <t>PRIMA VACACIONAL</t>
  </si>
  <si>
    <t>EN ADELANTE</t>
  </si>
  <si>
    <t>PARS8910063DA</t>
  </si>
  <si>
    <t>PARS891006MCSRDT08</t>
  </si>
  <si>
    <t>SALARIO ACTUAL 2018</t>
  </si>
  <si>
    <t>COPD710805H80</t>
  </si>
  <si>
    <t>CLTX</t>
  </si>
  <si>
    <t>EIGR8904026AA</t>
  </si>
  <si>
    <t>VEMG720123848</t>
  </si>
  <si>
    <t>02188940387</t>
  </si>
  <si>
    <t>03189637725</t>
  </si>
  <si>
    <t>VENO96062HCSLMS07</t>
  </si>
  <si>
    <t>VENO9606281XA</t>
  </si>
  <si>
    <t>GOFC791202MCSMLL09</t>
  </si>
  <si>
    <t>GOFC791202AV7</t>
  </si>
  <si>
    <t>PEDN900323</t>
  </si>
  <si>
    <t>PEDN900323HCSRMS06</t>
  </si>
  <si>
    <t>CUVC911128NT3</t>
  </si>
  <si>
    <t>CUVC911128MCSRRR01</t>
  </si>
  <si>
    <t>SALARIO ACTUAL 2019</t>
  </si>
  <si>
    <t>04199721145</t>
  </si>
  <si>
    <t>VACD971205EPA</t>
  </si>
  <si>
    <t>VACD971205MCSZHN26</t>
  </si>
  <si>
    <t>c</t>
  </si>
  <si>
    <t>SANTADER</t>
  </si>
  <si>
    <t>0218809848</t>
  </si>
  <si>
    <t>LOVE881118LG2</t>
  </si>
  <si>
    <t>LOVE881118HCSPZR02</t>
  </si>
  <si>
    <t xml:space="preserve"> NVO SALARIO BASE COTIZACION 2020</t>
  </si>
  <si>
    <t>PEAC941003MCSRVN06</t>
  </si>
  <si>
    <t>PEAC9410032Z0</t>
  </si>
  <si>
    <t>BBVA</t>
  </si>
  <si>
    <t>MODIFICACION DE SALARIO</t>
  </si>
  <si>
    <t>71139446869</t>
  </si>
  <si>
    <t>HEFJ9411283W3</t>
  </si>
  <si>
    <t>HEFJ941128HCSRRR08</t>
  </si>
  <si>
    <t>68159698767</t>
  </si>
  <si>
    <t>RUAB960920383</t>
  </si>
  <si>
    <t>RUAB960920MVZDRL08</t>
  </si>
  <si>
    <t>02159267307</t>
  </si>
  <si>
    <t>ROGD820323136</t>
  </si>
  <si>
    <t>ROGD920323HCSDRR03</t>
  </si>
  <si>
    <t>AGUINALDO 2020</t>
  </si>
  <si>
    <t>SALARIO ACTUAL 2020</t>
  </si>
  <si>
    <t xml:space="preserve">EJERCICIO FISCAL 2020 NOVIEMBRE </t>
  </si>
  <si>
    <t>HORAS EXTRAS</t>
  </si>
  <si>
    <t>RESUMEN DE NOMINA SIN INCIDENCIAS</t>
  </si>
  <si>
    <t>TOTAL DEL MES</t>
  </si>
  <si>
    <t>NOMBRES</t>
  </si>
  <si>
    <t>NETO SIN INCIDENCIAS</t>
  </si>
  <si>
    <t>H.E. Y BONO</t>
  </si>
  <si>
    <t>TOTAL NOMINA</t>
  </si>
  <si>
    <t>POR PAGAR EN EFECTIVO</t>
  </si>
  <si>
    <t>SUSIDIO POR INCAPACIDAD</t>
  </si>
  <si>
    <t>1A QUIN</t>
  </si>
  <si>
    <t>2A QUIN</t>
  </si>
  <si>
    <t>a</t>
  </si>
  <si>
    <t>l</t>
  </si>
  <si>
    <t>b</t>
  </si>
  <si>
    <t>d</t>
  </si>
  <si>
    <t>g</t>
  </si>
  <si>
    <t>n</t>
  </si>
  <si>
    <t>f</t>
  </si>
  <si>
    <t>h</t>
  </si>
  <si>
    <t>k</t>
  </si>
  <si>
    <t>m</t>
  </si>
  <si>
    <t>p</t>
  </si>
  <si>
    <t>05210394523</t>
  </si>
  <si>
    <t>CUNJ030108HCSRTVA2</t>
  </si>
  <si>
    <t>CUNJ030108</t>
  </si>
  <si>
    <t>CHEQUE</t>
  </si>
  <si>
    <t>LOJF821019HCSPNB08</t>
  </si>
  <si>
    <t>LOJF8210195Y2</t>
  </si>
  <si>
    <t>06139634031</t>
  </si>
  <si>
    <t>GOVP960704851</t>
  </si>
  <si>
    <t>GOVP960704MCSNRL04</t>
  </si>
  <si>
    <t>cheque</t>
  </si>
  <si>
    <t>VACACIONES CON GOCE DE SUELDO</t>
  </si>
  <si>
    <t>NOMINA DE SUELDO CORRESPONDIENTE DEL 01  AL 15 DE ABRIL DEL 2021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</si>
  <si>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</si>
  <si>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</si>
  <si>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</si>
  <si>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</si>
  <si>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</si>
  <si>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</si>
  <si>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</si>
  <si>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</si>
  <si>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</si>
  <si>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</si>
  <si>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</si>
  <si>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</si>
  <si>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</si>
  <si>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</si>
  <si>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 xml:space="preserve">P </t>
  </si>
  <si>
    <t>Q</t>
  </si>
  <si>
    <t>R</t>
  </si>
  <si>
    <t>S</t>
  </si>
  <si>
    <t>T</t>
  </si>
  <si>
    <t>U</t>
  </si>
  <si>
    <t>W</t>
  </si>
  <si>
    <t>Y</t>
  </si>
  <si>
    <t>Z</t>
  </si>
  <si>
    <t xml:space="preserve">L </t>
  </si>
  <si>
    <t>LL</t>
  </si>
  <si>
    <t>Ñ</t>
  </si>
  <si>
    <t>AA</t>
  </si>
  <si>
    <t>AB</t>
  </si>
  <si>
    <t>AC</t>
  </si>
  <si>
    <t>AD</t>
  </si>
  <si>
    <t>Tarifa aplicable cuando hagan pagos que correspondan a un periodo quincenal, correspondiente a 2021</t>
  </si>
  <si>
    <t>TABLA DEL SUBSIDIO AL EMPLEO</t>
  </si>
  <si>
    <t>TABLA MENSUAL DE ISR IMPUESTO</t>
  </si>
  <si>
    <t>CEDULA BIMESTRAL MARZO ABRIL  2021</t>
  </si>
  <si>
    <t>EJERCICIO 2:   CEDULA PERÍODO MARZO 2021</t>
  </si>
  <si>
    <t>EJERCICIO 2:   CEDULA PERÍODO ABRIL 2021</t>
  </si>
  <si>
    <t>FECHA ingreso</t>
  </si>
  <si>
    <t>NOMINA DE SUELDO CORRESPONDIENTE DEL 29 de marzo  AL 04 DE semana DEL 2021</t>
  </si>
  <si>
    <t>1a semana</t>
  </si>
  <si>
    <t>NOMINA DE SUELDO CORRESPONDIENTE DEL 05  AL 11 DE ABRIL DEL 2021</t>
  </si>
  <si>
    <t>SEMANAL</t>
  </si>
  <si>
    <t>NOMINA DE SUELDO CORRESPONDIENTE DEL 19  AL 25 DE ABRIL DEL 2021</t>
  </si>
  <si>
    <t>2A SEMANA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</si>
</sst>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  <numFmt numFmtId="170" formatCode="_-&quot;$&quot;* #,##0.000_-;\-&quot;$&quot;* #,##0.000_-;_-&quot;$&quot;* &quot;-&quot;???_-;_-@_-"/>
    <numFmt numFmtId="171" formatCode="_-[$$-80A]* #,##0.00_-;\-[$$-80A]* #,##0.00_-;_-[$$-80A]* &quot;-&quot;??_-;_-@_-"/>
    <numFmt numFmtId="172" formatCode="_-* #,##0.0000_-;\-* #,##0.0000_-;_-* &quot;-&quot;??_-;_-@_-"/>
    <numFmt numFmtId="173" formatCode="_-[$€-2]* #,##0.00_-;\-[$€-2]* #,##0.00_-;_-[$€-2]* &quot;-&quot;??_-"/>
    <numFmt numFmtId="174" formatCode="_-* #,##0.000_-;\-* #,##0.000_-;_-* &quot;-&quot;??_-;_-@_-"/>
    <numFmt numFmtId="175" formatCode="_-* #,##0.00000_-;\-* #,##0.00000_-;_-* &quot;-&quot;??_-;_-@_-"/>
    <numFmt numFmtId="176" formatCode="_-* #,##0.000000_-;\-* #,##0.000000_-;_-* &quot;-&quot;??_-;_-@_-"/>
    <numFmt numFmtId="177" formatCode="_-[$$-80A]* #,##0.000_-;\-[$$-80A]* #,##0.000_-;_-[$$-80A]* &quot;-&quot;???_-;_-@_-"/>
    <numFmt numFmtId="178" formatCode="[$-80A]dddd\,\ d&quot; de &quot;mmmm&quot; de &quot;yyyy"/>
    <numFmt numFmtId="179" formatCode="[$-80A]hh:mm:ss\ AM/PM"/>
    <numFmt numFmtId="180" formatCode="0.000"/>
    <numFmt numFmtId="181" formatCode="0.0000"/>
    <numFmt numFmtId="182" formatCode="0.0"/>
    <numFmt numFmtId="183" formatCode="mmm\-yyyy"/>
    <numFmt numFmtId="184" formatCode="[$-80A]dddd\,\ dd&quot; de &quot;mmmm&quot; de &quot;yyyy"/>
    <numFmt numFmtId="185" formatCode="0.000000"/>
    <numFmt numFmtId="186" formatCode="0.00000"/>
    <numFmt numFmtId="187" formatCode="_-* #,##0.0_-;\-* #,##0.0_-;_-* &quot;-&quot;??_-;_-@_-"/>
    <numFmt numFmtId="188" formatCode="_-* #,##0_-;\-* #,##0_-;_-* &quot;-&quot;??_-;_-@_-"/>
    <numFmt numFmtId="189" formatCode="_-&quot;$&quot;* #,##0.000000_-;\-&quot;$&quot;* #,##0.000000_-;_-&quot;$&quot;* &quot;-&quot;??????_-;_-@_-"/>
    <numFmt numFmtId="190" formatCode="_-&quot;$&quot;* #,##0.00000000000_-;\-&quot;$&quot;* #,##0.00000000000_-;_-&quot;$&quot;* &quot;-&quot;???????????_-;_-@_-"/>
    <numFmt numFmtId="191" formatCode="_-&quot;$&quot;* #,##0.0000000000_-;\-&quot;$&quot;* #,##0.0000000000_-;_-&quot;$&quot;* &quot;-&quot;??????????_-;_-@_-"/>
    <numFmt numFmtId="192" formatCode="_-&quot;$&quot;* #,##0.00000_-;\-&quot;$&quot;* #,##0.00000_-;_-&quot;$&quot;* &quot;-&quot;?????_-;_-@_-"/>
    <numFmt numFmtId="193" formatCode="_-[$$-80A]* #,##0.000_-;\-[$$-80A]* #,##0.000_-;_-[$$-80A]* &quot;-&quot;??_-;_-@_-"/>
    <numFmt numFmtId="194" formatCode="_-[$$-80A]* #,##0.0000_-;\-[$$-80A]* #,##0.0000_-;_-[$$-80A]* &quot;-&quot;??_-;_-@_-"/>
    <numFmt numFmtId="195" formatCode="_-[$$-80A]* #,##0.00000_-;\-[$$-80A]* #,##0.00000_-;_-[$$-80A]* &quot;-&quot;??_-;_-@_-"/>
    <numFmt numFmtId="196" formatCode="_-[$$-80A]* #,##0.000000_-;\-[$$-80A]* #,##0.000000_-;_-[$$-80A]* &quot;-&quot;??_-;_-@_-"/>
    <numFmt numFmtId="197" formatCode="_-[$$-80A]* #,##0.0000000_-;\-[$$-80A]* #,##0.0000000_-;_-[$$-80A]* &quot;-&quot;??_-;_-@_-"/>
    <numFmt numFmtId="198" formatCode="_-[$$-80A]* #,##0.00000000_-;\-[$$-80A]* #,##0.00000000_-;_-[$$-80A]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Calibri"/>
      <family val="2"/>
    </font>
    <font>
      <sz val="11"/>
      <color indexed="8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sz val="8"/>
      <color indexed="63"/>
      <name val="Arial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Arial Narrow"/>
      <family val="2"/>
    </font>
    <font>
      <b/>
      <sz val="11"/>
      <name val="Calibri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sz val="10"/>
      <color indexed="9"/>
      <name val="Tahoma"/>
      <family val="2"/>
    </font>
    <font>
      <b/>
      <sz val="8"/>
      <color indexed="8"/>
      <name val="Tahoma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8"/>
      <color theme="1"/>
      <name val="Tahoma"/>
      <family val="2"/>
    </font>
    <font>
      <sz val="8"/>
      <color rgb="FF333333"/>
      <name val="Arial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sz val="14"/>
      <color theme="1"/>
      <name val="Arial Narrow"/>
      <family val="2"/>
    </font>
    <font>
      <sz val="10"/>
      <color rgb="FF000000"/>
      <name val="Arial Unicode MS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Tahoma"/>
      <family val="2"/>
    </font>
    <font>
      <b/>
      <sz val="8"/>
      <color theme="1"/>
      <name val="Tahoma"/>
      <family val="2"/>
    </font>
    <font>
      <sz val="9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73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36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4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43" fontId="0" fillId="0" borderId="0" xfId="0" applyNumberFormat="1" applyAlignment="1">
      <alignment/>
    </xf>
    <xf numFmtId="43" fontId="0" fillId="36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/>
    </xf>
    <xf numFmtId="44" fontId="4" fillId="0" borderId="14" xfId="57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44" fontId="4" fillId="0" borderId="14" xfId="0" applyNumberFormat="1" applyFont="1" applyBorder="1" applyAlignment="1">
      <alignment/>
    </xf>
    <xf numFmtId="44" fontId="4" fillId="0" borderId="0" xfId="57" applyFont="1" applyAlignment="1">
      <alignment horizontal="center" vertical="center" wrapText="1"/>
    </xf>
    <xf numFmtId="44" fontId="0" fillId="0" borderId="0" xfId="0" applyNumberFormat="1" applyAlignment="1">
      <alignment/>
    </xf>
    <xf numFmtId="44" fontId="6" fillId="0" borderId="0" xfId="0" applyNumberFormat="1" applyFont="1" applyAlignment="1">
      <alignment/>
    </xf>
    <xf numFmtId="44" fontId="0" fillId="0" borderId="22" xfId="0" applyNumberFormat="1" applyBorder="1" applyAlignment="1">
      <alignment/>
    </xf>
    <xf numFmtId="44" fontId="1" fillId="0" borderId="0" xfId="57" applyFont="1" applyAlignment="1">
      <alignment/>
    </xf>
    <xf numFmtId="44" fontId="1" fillId="0" borderId="22" xfId="57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44" fontId="0" fillId="0" borderId="0" xfId="0" applyNumberForma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4" fillId="0" borderId="14" xfId="0" applyFont="1" applyBorder="1" applyAlignment="1">
      <alignment horizontal="right" vertical="center"/>
    </xf>
    <xf numFmtId="0" fontId="63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43" fontId="9" fillId="0" borderId="0" xfId="0" applyNumberFormat="1" applyFont="1" applyAlignment="1">
      <alignment/>
    </xf>
    <xf numFmtId="10" fontId="9" fillId="0" borderId="0" xfId="71" applyNumberFormat="1" applyFont="1" applyAlignment="1">
      <alignment horizontal="center"/>
    </xf>
    <xf numFmtId="43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10" fillId="38" borderId="0" xfId="0" applyFont="1" applyFill="1" applyAlignment="1">
      <alignment horizontal="center" vertical="center" textRotation="90" wrapText="1"/>
    </xf>
    <xf numFmtId="0" fontId="10" fillId="38" borderId="0" xfId="0" applyFont="1" applyFill="1" applyAlignment="1">
      <alignment horizontal="center" vertical="center" wrapText="1"/>
    </xf>
    <xf numFmtId="0" fontId="64" fillId="0" borderId="0" xfId="0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0" fillId="39" borderId="0" xfId="0" applyNumberFormat="1" applyFill="1" applyAlignment="1">
      <alignment/>
    </xf>
    <xf numFmtId="43" fontId="0" fillId="40" borderId="0" xfId="0" applyNumberFormat="1" applyFill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65" fillId="0" borderId="0" xfId="0" applyFont="1" applyAlignment="1">
      <alignment vertical="center" wrapText="1"/>
    </xf>
    <xf numFmtId="10" fontId="65" fillId="0" borderId="0" xfId="0" applyNumberFormat="1" applyFont="1" applyAlignment="1">
      <alignment vertical="center" wrapText="1"/>
    </xf>
    <xf numFmtId="4" fontId="65" fillId="0" borderId="0" xfId="0" applyNumberFormat="1" applyFont="1" applyAlignment="1">
      <alignment vertical="center" wrapText="1"/>
    </xf>
    <xf numFmtId="9" fontId="65" fillId="0" borderId="0" xfId="0" applyNumberFormat="1" applyFont="1" applyAlignment="1">
      <alignment vertical="center" wrapText="1"/>
    </xf>
    <xf numFmtId="44" fontId="4" fillId="37" borderId="14" xfId="57" applyFont="1" applyFill="1" applyBorder="1" applyAlignment="1">
      <alignment/>
    </xf>
    <xf numFmtId="0" fontId="67" fillId="0" borderId="0" xfId="0" applyFont="1" applyAlignment="1">
      <alignment/>
    </xf>
    <xf numFmtId="171" fontId="0" fillId="39" borderId="0" xfId="0" applyNumberFormat="1" applyFill="1" applyAlignment="1">
      <alignment/>
    </xf>
    <xf numFmtId="171" fontId="0" fillId="40" borderId="0" xfId="0" applyNumberFormat="1" applyFill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2" fillId="0" borderId="0" xfId="0" applyFont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4" fillId="37" borderId="14" xfId="0" applyNumberFormat="1" applyFont="1" applyFill="1" applyBorder="1" applyAlignment="1">
      <alignment/>
    </xf>
    <xf numFmtId="0" fontId="6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5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4" fontId="0" fillId="0" borderId="0" xfId="57" applyFont="1" applyAlignment="1">
      <alignment/>
    </xf>
    <xf numFmtId="0" fontId="7" fillId="0" borderId="26" xfId="0" applyFont="1" applyBorder="1" applyAlignment="1">
      <alignment/>
    </xf>
    <xf numFmtId="9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4" fontId="0" fillId="0" borderId="14" xfId="0" applyNumberFormat="1" applyBorder="1" applyAlignment="1">
      <alignment/>
    </xf>
    <xf numFmtId="171" fontId="4" fillId="0" borderId="14" xfId="57" applyNumberFormat="1" applyFont="1" applyBorder="1" applyAlignment="1">
      <alignment/>
    </xf>
    <xf numFmtId="44" fontId="4" fillId="0" borderId="14" xfId="59" applyFont="1" applyBorder="1" applyAlignment="1">
      <alignment/>
    </xf>
    <xf numFmtId="0" fontId="6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4" fontId="4" fillId="0" borderId="0" xfId="57" applyFont="1" applyAlignment="1">
      <alignment horizontal="center" vertical="center" wrapText="1"/>
    </xf>
    <xf numFmtId="0" fontId="4" fillId="0" borderId="0" xfId="0" applyFont="1" applyAlignment="1">
      <alignment/>
    </xf>
    <xf numFmtId="44" fontId="4" fillId="0" borderId="14" xfId="57" applyFont="1" applyBorder="1" applyAlignment="1">
      <alignment/>
    </xf>
    <xf numFmtId="0" fontId="0" fillId="0" borderId="14" xfId="0" applyBorder="1" applyAlignment="1">
      <alignment horizontal="center"/>
    </xf>
    <xf numFmtId="44" fontId="4" fillId="0" borderId="14" xfId="0" applyNumberFormat="1" applyFont="1" applyBorder="1" applyAlignment="1">
      <alignment/>
    </xf>
    <xf numFmtId="44" fontId="4" fillId="0" borderId="14" xfId="59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4" fontId="0" fillId="0" borderId="14" xfId="57" applyFont="1" applyBorder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43" fontId="9" fillId="0" borderId="0" xfId="0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0" fontId="10" fillId="38" borderId="0" xfId="0" applyFont="1" applyFill="1" applyAlignment="1">
      <alignment horizontal="center" vertical="center" textRotation="90" wrapText="1"/>
    </xf>
    <xf numFmtId="0" fontId="10" fillId="38" borderId="0" xfId="0" applyFont="1" applyFill="1" applyAlignment="1">
      <alignment horizontal="center" vertical="center" wrapText="1"/>
    </xf>
    <xf numFmtId="171" fontId="0" fillId="0" borderId="0" xfId="0" applyNumberFormat="1" applyAlignment="1">
      <alignment/>
    </xf>
    <xf numFmtId="44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0" fillId="39" borderId="0" xfId="0" applyNumberFormat="1" applyFill="1" applyAlignment="1">
      <alignment/>
    </xf>
    <xf numFmtId="43" fontId="0" fillId="40" borderId="0" xfId="0" applyNumberFormat="1" applyFill="1" applyAlignment="1">
      <alignment/>
    </xf>
    <xf numFmtId="0" fontId="64" fillId="0" borderId="0" xfId="0" applyFont="1" applyAlignment="1">
      <alignment/>
    </xf>
    <xf numFmtId="171" fontId="0" fillId="39" borderId="0" xfId="0" applyNumberFormat="1" applyFill="1" applyAlignment="1">
      <alignment/>
    </xf>
    <xf numFmtId="171" fontId="0" fillId="40" borderId="0" xfId="0" applyNumberFormat="1" applyFill="1" applyAlignment="1">
      <alignment/>
    </xf>
    <xf numFmtId="171" fontId="0" fillId="0" borderId="0" xfId="0" applyNumberFormat="1" applyAlignment="1">
      <alignment/>
    </xf>
    <xf numFmtId="44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60" fillId="0" borderId="0" xfId="0" applyNumberFormat="1" applyFont="1" applyAlignment="1">
      <alignment/>
    </xf>
    <xf numFmtId="171" fontId="60" fillId="0" borderId="0" xfId="0" applyNumberFormat="1" applyFont="1" applyAlignment="1">
      <alignment/>
    </xf>
    <xf numFmtId="0" fontId="3" fillId="0" borderId="30" xfId="0" applyFont="1" applyBorder="1" applyAlignment="1">
      <alignment/>
    </xf>
    <xf numFmtId="0" fontId="37" fillId="0" borderId="0" xfId="0" applyFont="1" applyAlignment="1">
      <alignment/>
    </xf>
    <xf numFmtId="0" fontId="65" fillId="0" borderId="0" xfId="0" applyFont="1" applyAlignment="1">
      <alignment vertical="center" wrapText="1"/>
    </xf>
    <xf numFmtId="0" fontId="65" fillId="0" borderId="31" xfId="0" applyFont="1" applyBorder="1" applyAlignment="1">
      <alignment vertical="center"/>
    </xf>
    <xf numFmtId="0" fontId="66" fillId="0" borderId="31" xfId="0" applyFont="1" applyBorder="1" applyAlignment="1">
      <alignment/>
    </xf>
    <xf numFmtId="0" fontId="65" fillId="0" borderId="2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4" fillId="0" borderId="21" xfId="57" applyFont="1" applyBorder="1" applyAlignment="1">
      <alignment/>
    </xf>
    <xf numFmtId="44" fontId="4" fillId="0" borderId="21" xfId="0" applyNumberFormat="1" applyFont="1" applyBorder="1" applyAlignment="1">
      <alignment/>
    </xf>
    <xf numFmtId="171" fontId="4" fillId="0" borderId="14" xfId="0" applyNumberFormat="1" applyFont="1" applyBorder="1" applyAlignment="1">
      <alignment/>
    </xf>
    <xf numFmtId="44" fontId="4" fillId="0" borderId="15" xfId="57" applyFont="1" applyBorder="1" applyAlignment="1">
      <alignment/>
    </xf>
    <xf numFmtId="44" fontId="4" fillId="0" borderId="15" xfId="0" applyNumberFormat="1" applyFont="1" applyBorder="1" applyAlignment="1">
      <alignment/>
    </xf>
    <xf numFmtId="171" fontId="4" fillId="0" borderId="14" xfId="0" applyNumberFormat="1" applyFont="1" applyBorder="1" applyAlignment="1">
      <alignment/>
    </xf>
    <xf numFmtId="44" fontId="4" fillId="0" borderId="0" xfId="0" applyNumberFormat="1" applyFont="1" applyAlignment="1">
      <alignment horizontal="center" vertical="center"/>
    </xf>
    <xf numFmtId="171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44" fontId="4" fillId="0" borderId="14" xfId="57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44" fontId="4" fillId="0" borderId="14" xfId="57" applyFont="1" applyFill="1" applyBorder="1" applyAlignment="1">
      <alignment/>
    </xf>
    <xf numFmtId="0" fontId="62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vertical="center"/>
    </xf>
    <xf numFmtId="0" fontId="0" fillId="0" borderId="0" xfId="0" applyAlignment="1">
      <alignment horizontal="center"/>
    </xf>
    <xf numFmtId="171" fontId="0" fillId="0" borderId="14" xfId="0" applyNumberFormat="1" applyFill="1" applyBorder="1" applyAlignment="1">
      <alignment/>
    </xf>
    <xf numFmtId="44" fontId="4" fillId="0" borderId="21" xfId="57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4" fillId="0" borderId="14" xfId="0" applyNumberFormat="1" applyFont="1" applyFill="1" applyBorder="1" applyAlignment="1">
      <alignment/>
    </xf>
    <xf numFmtId="171" fontId="4" fillId="0" borderId="14" xfId="57" applyNumberFormat="1" applyFont="1" applyFill="1" applyBorder="1" applyAlignment="1">
      <alignment/>
    </xf>
    <xf numFmtId="44" fontId="4" fillId="0" borderId="14" xfId="59" applyFont="1" applyFill="1" applyBorder="1" applyAlignment="1">
      <alignment/>
    </xf>
    <xf numFmtId="0" fontId="60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44" fontId="4" fillId="0" borderId="14" xfId="0" applyNumberFormat="1" applyFont="1" applyFill="1" applyBorder="1" applyAlignment="1">
      <alignment/>
    </xf>
    <xf numFmtId="44" fontId="4" fillId="0" borderId="15" xfId="0" applyNumberFormat="1" applyFont="1" applyFill="1" applyBorder="1" applyAlignment="1">
      <alignment/>
    </xf>
    <xf numFmtId="44" fontId="4" fillId="0" borderId="15" xfId="57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4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171" fontId="0" fillId="0" borderId="0" xfId="0" applyNumberFormat="1" applyFill="1" applyAlignment="1">
      <alignment/>
    </xf>
    <xf numFmtId="0" fontId="6" fillId="0" borderId="0" xfId="0" applyFont="1" applyFill="1" applyAlignment="1">
      <alignment vertical="center" wrapText="1"/>
    </xf>
    <xf numFmtId="14" fontId="0" fillId="0" borderId="14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 vertical="center"/>
    </xf>
    <xf numFmtId="171" fontId="0" fillId="0" borderId="27" xfId="0" applyNumberFormat="1" applyFill="1" applyBorder="1" applyAlignment="1">
      <alignment/>
    </xf>
    <xf numFmtId="0" fontId="0" fillId="0" borderId="0" xfId="0" applyFill="1" applyAlignment="1">
      <alignment wrapText="1"/>
    </xf>
    <xf numFmtId="44" fontId="4" fillId="0" borderId="0" xfId="0" applyNumberFormat="1" applyFont="1" applyAlignment="1">
      <alignment horizontal="left" vertical="center"/>
    </xf>
    <xf numFmtId="44" fontId="4" fillId="0" borderId="14" xfId="0" applyNumberFormat="1" applyFont="1" applyBorder="1" applyAlignment="1">
      <alignment horizontal="left" vertical="center"/>
    </xf>
    <xf numFmtId="171" fontId="60" fillId="0" borderId="14" xfId="0" applyNumberFormat="1" applyFont="1" applyBorder="1" applyAlignment="1">
      <alignment/>
    </xf>
    <xf numFmtId="171" fontId="60" fillId="0" borderId="14" xfId="0" applyNumberFormat="1" applyFont="1" applyFill="1" applyBorder="1" applyAlignment="1">
      <alignment/>
    </xf>
    <xf numFmtId="0" fontId="70" fillId="0" borderId="14" xfId="0" applyFont="1" applyBorder="1" applyAlignment="1">
      <alignment horizontal="center" vertical="center" wrapText="1"/>
    </xf>
    <xf numFmtId="171" fontId="71" fillId="0" borderId="14" xfId="0" applyNumberFormat="1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1" fontId="0" fillId="37" borderId="14" xfId="0" applyNumberFormat="1" applyFill="1" applyBorder="1" applyAlignment="1">
      <alignment/>
    </xf>
    <xf numFmtId="0" fontId="0" fillId="0" borderId="21" xfId="0" applyFill="1" applyBorder="1" applyAlignment="1">
      <alignment/>
    </xf>
    <xf numFmtId="4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44" fontId="4" fillId="0" borderId="21" xfId="59" applyFont="1" applyFill="1" applyBorder="1" applyAlignment="1">
      <alignment/>
    </xf>
    <xf numFmtId="43" fontId="0" fillId="0" borderId="0" xfId="0" applyNumberFormat="1" applyBorder="1" applyAlignment="1">
      <alignment/>
    </xf>
    <xf numFmtId="44" fontId="6" fillId="0" borderId="0" xfId="0" applyNumberFormat="1" applyFont="1" applyFill="1" applyAlignment="1">
      <alignment/>
    </xf>
    <xf numFmtId="0" fontId="72" fillId="0" borderId="14" xfId="0" applyFont="1" applyBorder="1" applyAlignment="1">
      <alignment vertical="center"/>
    </xf>
    <xf numFmtId="0" fontId="4" fillId="41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9" fillId="37" borderId="14" xfId="0" applyFont="1" applyFill="1" applyBorder="1" applyAlignment="1">
      <alignment horizontal="center" vertical="center"/>
    </xf>
    <xf numFmtId="19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2" fillId="0" borderId="14" xfId="0" applyFont="1" applyFill="1" applyBorder="1" applyAlignment="1">
      <alignment/>
    </xf>
    <xf numFmtId="49" fontId="72" fillId="0" borderId="14" xfId="0" applyNumberFormat="1" applyFont="1" applyFill="1" applyBorder="1" applyAlignment="1">
      <alignment/>
    </xf>
    <xf numFmtId="0" fontId="72" fillId="0" borderId="14" xfId="0" applyFont="1" applyFill="1" applyBorder="1" applyAlignment="1">
      <alignment horizontal="left"/>
    </xf>
    <xf numFmtId="0" fontId="72" fillId="0" borderId="14" xfId="0" applyFont="1" applyFill="1" applyBorder="1" applyAlignment="1">
      <alignment horizontal="right" vertical="center"/>
    </xf>
    <xf numFmtId="0" fontId="43" fillId="0" borderId="14" xfId="0" applyFont="1" applyFill="1" applyBorder="1" applyAlignment="1">
      <alignment/>
    </xf>
    <xf numFmtId="49" fontId="72" fillId="0" borderId="14" xfId="0" applyNumberFormat="1" applyFont="1" applyFill="1" applyBorder="1" applyAlignment="1">
      <alignment horizontal="right" vertical="center"/>
    </xf>
    <xf numFmtId="0" fontId="72" fillId="0" borderId="27" xfId="0" applyFont="1" applyFill="1" applyBorder="1" applyAlignment="1">
      <alignment horizontal="right" vertical="center"/>
    </xf>
    <xf numFmtId="0" fontId="43" fillId="0" borderId="0" xfId="0" applyFont="1" applyFill="1" applyAlignment="1">
      <alignment/>
    </xf>
    <xf numFmtId="0" fontId="43" fillId="0" borderId="27" xfId="0" applyFont="1" applyFill="1" applyBorder="1" applyAlignment="1">
      <alignment/>
    </xf>
    <xf numFmtId="0" fontId="72" fillId="0" borderId="27" xfId="0" applyFont="1" applyFill="1" applyBorder="1" applyAlignment="1">
      <alignment horizontal="left"/>
    </xf>
    <xf numFmtId="49" fontId="72" fillId="0" borderId="27" xfId="0" applyNumberFormat="1" applyFont="1" applyFill="1" applyBorder="1" applyAlignment="1">
      <alignment horizontal="right" vertical="center"/>
    </xf>
    <xf numFmtId="0" fontId="72" fillId="0" borderId="21" xfId="0" applyFont="1" applyFill="1" applyBorder="1" applyAlignment="1">
      <alignment horizontal="right" vertical="center"/>
    </xf>
    <xf numFmtId="0" fontId="72" fillId="0" borderId="21" xfId="0" applyFont="1" applyFill="1" applyBorder="1" applyAlignment="1">
      <alignment horizontal="left"/>
    </xf>
    <xf numFmtId="0" fontId="72" fillId="0" borderId="14" xfId="0" applyFont="1" applyFill="1" applyBorder="1" applyAlignment="1">
      <alignment vertical="center"/>
    </xf>
    <xf numFmtId="49" fontId="43" fillId="0" borderId="0" xfId="0" applyNumberFormat="1" applyFont="1" applyFill="1" applyAlignment="1">
      <alignment horizontal="right"/>
    </xf>
    <xf numFmtId="0" fontId="43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4" xfId="0" applyFont="1" applyBorder="1" applyAlignment="1">
      <alignment horizontal="left" vertical="center"/>
    </xf>
    <xf numFmtId="0" fontId="72" fillId="0" borderId="14" xfId="0" applyFont="1" applyBorder="1" applyAlignment="1">
      <alignment horizontal="right" vertical="center"/>
    </xf>
    <xf numFmtId="43" fontId="0" fillId="0" borderId="14" xfId="0" applyNumberFormat="1" applyBorder="1" applyAlignment="1">
      <alignment horizontal="center"/>
    </xf>
    <xf numFmtId="14" fontId="0" fillId="0" borderId="2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9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0" fillId="33" borderId="3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2" borderId="35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2" borderId="36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0" fillId="43" borderId="36" xfId="0" applyFill="1" applyBorder="1" applyAlignment="1">
      <alignment horizontal="center" vertical="center"/>
    </xf>
    <xf numFmtId="0" fontId="0" fillId="43" borderId="30" xfId="0" applyFill="1" applyBorder="1" applyAlignment="1">
      <alignment horizontal="center" vertical="center"/>
    </xf>
    <xf numFmtId="0" fontId="0" fillId="43" borderId="37" xfId="0" applyFill="1" applyBorder="1" applyAlignment="1">
      <alignment horizontal="center" vertical="center"/>
    </xf>
    <xf numFmtId="0" fontId="0" fillId="44" borderId="36" xfId="0" applyFill="1" applyBorder="1" applyAlignment="1">
      <alignment horizontal="center" vertical="center"/>
    </xf>
    <xf numFmtId="0" fontId="0" fillId="44" borderId="30" xfId="0" applyFill="1" applyBorder="1" applyAlignment="1">
      <alignment horizontal="center" vertical="center"/>
    </xf>
    <xf numFmtId="0" fontId="0" fillId="44" borderId="37" xfId="0" applyFill="1" applyBorder="1" applyAlignment="1">
      <alignment horizontal="center" vertical="center"/>
    </xf>
    <xf numFmtId="0" fontId="3" fillId="42" borderId="32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5" borderId="32" xfId="0" applyFill="1" applyBorder="1" applyAlignment="1">
      <alignment horizontal="center" vertical="center"/>
    </xf>
    <xf numFmtId="0" fontId="0" fillId="45" borderId="15" xfId="0" applyFill="1" applyBorder="1" applyAlignment="1">
      <alignment horizontal="center" vertical="center"/>
    </xf>
    <xf numFmtId="0" fontId="0" fillId="46" borderId="36" xfId="0" applyFill="1" applyBorder="1" applyAlignment="1">
      <alignment horizontal="center" vertical="center"/>
    </xf>
    <xf numFmtId="0" fontId="0" fillId="46" borderId="30" xfId="0" applyFill="1" applyBorder="1" applyAlignment="1">
      <alignment horizontal="center" vertical="center"/>
    </xf>
    <xf numFmtId="0" fontId="0" fillId="46" borderId="37" xfId="0" applyFill="1" applyBorder="1" applyAlignment="1">
      <alignment horizontal="center" vertical="center"/>
    </xf>
    <xf numFmtId="0" fontId="0" fillId="47" borderId="40" xfId="0" applyFill="1" applyBorder="1" applyAlignment="1">
      <alignment horizontal="center" vertical="center"/>
    </xf>
    <xf numFmtId="0" fontId="0" fillId="47" borderId="41" xfId="0" applyFill="1" applyBorder="1" applyAlignment="1">
      <alignment horizontal="center" vertical="center"/>
    </xf>
    <xf numFmtId="0" fontId="0" fillId="47" borderId="42" xfId="0" applyFill="1" applyBorder="1" applyAlignment="1">
      <alignment horizontal="center" vertical="center"/>
    </xf>
    <xf numFmtId="0" fontId="0" fillId="48" borderId="43" xfId="0" applyFill="1" applyBorder="1" applyAlignment="1">
      <alignment horizontal="center" vertical="center"/>
    </xf>
    <xf numFmtId="0" fontId="0" fillId="48" borderId="13" xfId="0" applyFill="1" applyBorder="1" applyAlignment="1">
      <alignment horizontal="center" vertical="center"/>
    </xf>
    <xf numFmtId="0" fontId="0" fillId="48" borderId="36" xfId="0" applyFill="1" applyBorder="1" applyAlignment="1">
      <alignment horizontal="center" vertical="center"/>
    </xf>
    <xf numFmtId="0" fontId="0" fillId="48" borderId="30" xfId="0" applyFill="1" applyBorder="1" applyAlignment="1">
      <alignment horizontal="center" vertical="center"/>
    </xf>
    <xf numFmtId="0" fontId="0" fillId="48" borderId="37" xfId="0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65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4" fillId="0" borderId="0" xfId="0" applyFont="1" applyAlignment="1">
      <alignment/>
    </xf>
    <xf numFmtId="4" fontId="74" fillId="0" borderId="0" xfId="0" applyNumberFormat="1" applyFont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urrency 2" xfId="37"/>
    <cellStyle name="Currency 2 2" xfId="38"/>
    <cellStyle name="Currency 3" xfId="39"/>
    <cellStyle name="Currency 3 2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Hyperlink" xfId="51"/>
    <cellStyle name="Followed Hyperlink" xfId="52"/>
    <cellStyle name="Incorrecto" xfId="53"/>
    <cellStyle name="Comma" xfId="54"/>
    <cellStyle name="Comma [0]" xfId="55"/>
    <cellStyle name="Millares 2" xfId="56"/>
    <cellStyle name="Currency" xfId="57"/>
    <cellStyle name="Currency [0]" xfId="58"/>
    <cellStyle name="Moneda 2" xfId="59"/>
    <cellStyle name="Moneda 2 2" xfId="60"/>
    <cellStyle name="Moneda 3" xfId="61"/>
    <cellStyle name="Moneda 4" xfId="62"/>
    <cellStyle name="Moneda 4 2" xfId="63"/>
    <cellStyle name="Neutral" xfId="64"/>
    <cellStyle name="Normal 2" xfId="65"/>
    <cellStyle name="Normal 3" xfId="66"/>
    <cellStyle name="Normal 3 3 2" xfId="67"/>
    <cellStyle name="Normal 4" xfId="68"/>
    <cellStyle name="Notas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zoomScale="86" zoomScaleNormal="86" zoomScalePageLayoutView="0" workbookViewId="0" topLeftCell="L13">
      <selection activeCell="V7" sqref="V7"/>
    </sheetView>
  </sheetViews>
  <sheetFormatPr defaultColWidth="11.421875" defaultRowHeight="15"/>
  <cols>
    <col min="1" max="1" width="31.00390625" style="0" customWidth="1"/>
    <col min="3" max="18" width="11.421875" style="0" customWidth="1"/>
    <col min="19" max="19" width="12.8515625" style="0" customWidth="1"/>
    <col min="23" max="23" width="30.57421875" style="0" customWidth="1"/>
    <col min="24" max="32" width="11.421875" style="0" customWidth="1"/>
  </cols>
  <sheetData>
    <row r="1" spans="1:23" ht="15">
      <c r="A1" t="s">
        <v>288</v>
      </c>
      <c r="W1" t="s">
        <v>287</v>
      </c>
    </row>
    <row r="2" ht="15.75" thickBot="1"/>
    <row r="3" spans="1:31" ht="15.75" thickBot="1">
      <c r="A3" s="312" t="s">
        <v>3</v>
      </c>
      <c r="B3" s="1"/>
      <c r="C3" s="2"/>
      <c r="D3" s="320" t="s">
        <v>4</v>
      </c>
      <c r="E3" s="321"/>
      <c r="F3" s="321"/>
      <c r="G3" s="321"/>
      <c r="H3" s="321"/>
      <c r="I3" s="321"/>
      <c r="J3" s="321"/>
      <c r="K3" s="321"/>
      <c r="L3" s="321"/>
      <c r="M3" s="322"/>
      <c r="N3" s="323" t="s">
        <v>5</v>
      </c>
      <c r="O3" s="323"/>
      <c r="P3" s="324"/>
      <c r="Q3" s="315" t="s">
        <v>6</v>
      </c>
      <c r="R3" s="310" t="s">
        <v>7</v>
      </c>
      <c r="S3" s="298" t="s">
        <v>8</v>
      </c>
      <c r="T3" s="3"/>
      <c r="W3" s="312" t="s">
        <v>3</v>
      </c>
      <c r="X3" s="4"/>
      <c r="Y3" s="4"/>
      <c r="Z3" s="315" t="s">
        <v>9</v>
      </c>
      <c r="AA3" s="300" t="s">
        <v>10</v>
      </c>
      <c r="AB3" s="301"/>
      <c r="AC3" s="298" t="s">
        <v>11</v>
      </c>
      <c r="AD3" s="294" t="s">
        <v>12</v>
      </c>
      <c r="AE3" s="296" t="s">
        <v>8</v>
      </c>
    </row>
    <row r="4" spans="1:31" ht="15">
      <c r="A4" s="313"/>
      <c r="B4" s="5"/>
      <c r="C4" s="5"/>
      <c r="D4" s="6"/>
      <c r="E4" s="304" t="s">
        <v>13</v>
      </c>
      <c r="F4" s="305"/>
      <c r="G4" s="306"/>
      <c r="H4" s="307" t="s">
        <v>14</v>
      </c>
      <c r="I4" s="308"/>
      <c r="J4" s="309"/>
      <c r="K4" s="317" t="s">
        <v>15</v>
      </c>
      <c r="L4" s="318"/>
      <c r="M4" s="319"/>
      <c r="N4" s="325"/>
      <c r="O4" s="326"/>
      <c r="P4" s="327"/>
      <c r="Q4" s="316"/>
      <c r="R4" s="311"/>
      <c r="S4" s="299"/>
      <c r="T4" s="7"/>
      <c r="W4" s="313"/>
      <c r="X4" s="8" t="s">
        <v>16</v>
      </c>
      <c r="Y4" s="8" t="s">
        <v>17</v>
      </c>
      <c r="Z4" s="316"/>
      <c r="AA4" s="302"/>
      <c r="AB4" s="303"/>
      <c r="AC4" s="299"/>
      <c r="AD4" s="295"/>
      <c r="AE4" s="297"/>
    </row>
    <row r="5" spans="1:31" ht="15.75" thickBot="1">
      <c r="A5" s="314"/>
      <c r="B5" s="9" t="s">
        <v>16</v>
      </c>
      <c r="C5" s="10" t="s">
        <v>18</v>
      </c>
      <c r="D5" s="11" t="s">
        <v>19</v>
      </c>
      <c r="E5" s="12" t="s">
        <v>20</v>
      </c>
      <c r="F5" s="12" t="s">
        <v>21</v>
      </c>
      <c r="G5" s="11" t="s">
        <v>11</v>
      </c>
      <c r="H5" s="12" t="s">
        <v>22</v>
      </c>
      <c r="I5" s="12" t="s">
        <v>23</v>
      </c>
      <c r="J5" s="11" t="s">
        <v>11</v>
      </c>
      <c r="K5" s="12" t="s">
        <v>24</v>
      </c>
      <c r="L5" s="12" t="s">
        <v>25</v>
      </c>
      <c r="M5" s="11" t="s">
        <v>11</v>
      </c>
      <c r="N5" s="12" t="s">
        <v>26</v>
      </c>
      <c r="O5" s="12" t="s">
        <v>27</v>
      </c>
      <c r="P5" s="11" t="s">
        <v>11</v>
      </c>
      <c r="Q5" s="11"/>
      <c r="R5" s="11"/>
      <c r="S5" s="12"/>
      <c r="T5" s="13"/>
      <c r="W5" s="314"/>
      <c r="X5" s="14"/>
      <c r="Y5" s="14"/>
      <c r="Z5" s="15">
        <v>0.02</v>
      </c>
      <c r="AA5" s="12" t="s">
        <v>28</v>
      </c>
      <c r="AB5" s="12" t="s">
        <v>29</v>
      </c>
      <c r="AC5" s="12"/>
      <c r="AD5" s="15">
        <v>0.05</v>
      </c>
      <c r="AE5" s="13"/>
    </row>
    <row r="6" spans="1:31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5">
      <c r="A7" s="32" t="str">
        <f>+modsalario2021!B4</f>
        <v>A</v>
      </c>
      <c r="B7" s="18">
        <f>+modsalario2021!Q4</f>
        <v>195.7121636328805</v>
      </c>
      <c r="C7" s="19">
        <v>31</v>
      </c>
      <c r="D7" s="18">
        <f aca="true" t="shared" si="0" ref="D7:D38">(88.36*31)*20.4%</f>
        <v>558.78864</v>
      </c>
      <c r="E7" s="18">
        <v>0</v>
      </c>
      <c r="F7" s="18">
        <v>0</v>
      </c>
      <c r="G7" s="18">
        <f>E7+F7</f>
        <v>0</v>
      </c>
      <c r="H7" s="18">
        <f>(B7*C7)*0.7%</f>
        <v>42.46953950833507</v>
      </c>
      <c r="I7" s="18">
        <f>(B7*C7)*0.25%</f>
        <v>15.16769268154824</v>
      </c>
      <c r="J7" s="18">
        <f>H7+I7</f>
        <v>57.637232189883306</v>
      </c>
      <c r="K7" s="18">
        <f>(B7*C7)*1.05%</f>
        <v>63.70430926250261</v>
      </c>
      <c r="L7" s="18">
        <f>(B7*C7)*0.375%</f>
        <v>22.75153902232236</v>
      </c>
      <c r="M7" s="18">
        <f>K7+L7</f>
        <v>86.45584828482497</v>
      </c>
      <c r="N7" s="18">
        <f>(B7*C7)*1.75%</f>
        <v>106.1738487708377</v>
      </c>
      <c r="O7" s="18">
        <f>(B7*C7)*0.625%</f>
        <v>37.9192317038706</v>
      </c>
      <c r="P7" s="18">
        <f>N7+O7</f>
        <v>144.0930804747083</v>
      </c>
      <c r="Q7" s="18">
        <f>(B7*C7)*2.5984%</f>
        <v>157.64693065493975</v>
      </c>
      <c r="R7" s="18">
        <f>(B7*C7)*1%</f>
        <v>60.67077072619296</v>
      </c>
      <c r="S7" s="18">
        <f>D7+G7+J7+M7+P7+Q7+R7</f>
        <v>1065.2925023305493</v>
      </c>
      <c r="T7" s="23">
        <f>F7+L7+O7+I7</f>
        <v>75.8384634077412</v>
      </c>
      <c r="U7" s="24">
        <f aca="true" t="shared" si="1" ref="U7:U38">T7+T48+AB7</f>
        <v>283.53799706313566</v>
      </c>
      <c r="V7" s="24">
        <f>U7/4</f>
        <v>70.88449926578392</v>
      </c>
      <c r="W7" s="285" t="str">
        <f aca="true" t="shared" si="2" ref="W7:X10">A7</f>
        <v>A</v>
      </c>
      <c r="X7" s="18">
        <f t="shared" si="2"/>
        <v>195.7121636328805</v>
      </c>
      <c r="Y7" s="17">
        <v>61</v>
      </c>
      <c r="Z7" s="18">
        <f>(X7*Y7)*2%</f>
        <v>238.7688396321142</v>
      </c>
      <c r="AA7" s="18">
        <f>(X7*Y7)*3.15%</f>
        <v>376.0609224205799</v>
      </c>
      <c r="AB7" s="18">
        <f>(X7*Y7)*1.125%</f>
        <v>134.30747229306425</v>
      </c>
      <c r="AC7" s="18">
        <f>AA7+AB7</f>
        <v>510.3683947136442</v>
      </c>
      <c r="AD7" s="18">
        <f>(X7*Y7)*5%</f>
        <v>596.9220990802855</v>
      </c>
      <c r="AE7" s="18">
        <f>Z7+AC7+AD7</f>
        <v>1346.0593334260438</v>
      </c>
    </row>
    <row r="8" spans="1:31" ht="15">
      <c r="A8" s="32" t="str">
        <f>+modsalario2021!B5</f>
        <v>B</v>
      </c>
      <c r="B8" s="18">
        <f>+modsalario2021!Q5</f>
        <v>195.7121636328805</v>
      </c>
      <c r="C8" s="19">
        <v>31</v>
      </c>
      <c r="D8" s="18">
        <f t="shared" si="0"/>
        <v>558.78864</v>
      </c>
      <c r="E8" s="18">
        <v>0</v>
      </c>
      <c r="F8" s="18">
        <v>0</v>
      </c>
      <c r="G8" s="18">
        <v>0</v>
      </c>
      <c r="H8" s="18">
        <f>(B8*C8)*0.7%</f>
        <v>42.46953950833507</v>
      </c>
      <c r="I8" s="18">
        <f>(B8*C8)*0.25%</f>
        <v>15.16769268154824</v>
      </c>
      <c r="J8" s="18">
        <f>H8+I8</f>
        <v>57.637232189883306</v>
      </c>
      <c r="K8" s="18">
        <f>(B8*C8)*1.05%</f>
        <v>63.70430926250261</v>
      </c>
      <c r="L8" s="18">
        <f>(B8*C8)*0.375%</f>
        <v>22.75153902232236</v>
      </c>
      <c r="M8" s="18">
        <f>K8+L8</f>
        <v>86.45584828482497</v>
      </c>
      <c r="N8" s="18">
        <f>(B8*C8)*1.75%</f>
        <v>106.1738487708377</v>
      </c>
      <c r="O8" s="18">
        <f>(B8*C8)*0.625%</f>
        <v>37.9192317038706</v>
      </c>
      <c r="P8" s="18">
        <f>N8+O8</f>
        <v>144.0930804747083</v>
      </c>
      <c r="Q8" s="18">
        <f>(B8*C8)*2.5984%</f>
        <v>157.64693065493975</v>
      </c>
      <c r="R8" s="18">
        <f>(B8*C8)*1%</f>
        <v>60.67077072619296</v>
      </c>
      <c r="S8" s="18">
        <f>D8+G8+J8+M8+P8+Q8+R8</f>
        <v>1065.2925023305493</v>
      </c>
      <c r="T8" s="23">
        <f aca="true" t="shared" si="3" ref="T8:T27">F8+L8+O8+I8</f>
        <v>75.8384634077412</v>
      </c>
      <c r="U8" s="24">
        <f t="shared" si="1"/>
        <v>283.53799706313566</v>
      </c>
      <c r="V8" s="24">
        <f>U8/4</f>
        <v>70.88449926578392</v>
      </c>
      <c r="W8" s="285" t="str">
        <f t="shared" si="2"/>
        <v>B</v>
      </c>
      <c r="X8" s="18">
        <f t="shared" si="2"/>
        <v>195.7121636328805</v>
      </c>
      <c r="Y8" s="17">
        <v>61</v>
      </c>
      <c r="Z8" s="18">
        <f>(X8*Y8)*2%</f>
        <v>238.7688396321142</v>
      </c>
      <c r="AA8" s="18">
        <f>(X8*Y8)*3.15%</f>
        <v>376.0609224205799</v>
      </c>
      <c r="AB8" s="18">
        <f>(X8*Y8)*1.125%</f>
        <v>134.30747229306425</v>
      </c>
      <c r="AC8" s="18">
        <f>AA8+AB8</f>
        <v>510.3683947136442</v>
      </c>
      <c r="AD8" s="18">
        <f>(X8*Y8)*5%</f>
        <v>596.9220990802855</v>
      </c>
      <c r="AE8" s="18">
        <f>Z8+AC8+AD8</f>
        <v>1346.0593334260438</v>
      </c>
    </row>
    <row r="9" spans="1:31" ht="15">
      <c r="A9" s="32" t="str">
        <f>+modsalario2021!B6</f>
        <v>C</v>
      </c>
      <c r="B9" s="18">
        <f>+modsalario2021!Q6</f>
        <v>176.579547953007</v>
      </c>
      <c r="C9" s="19">
        <v>31</v>
      </c>
      <c r="D9" s="18">
        <f t="shared" si="0"/>
        <v>558.78864</v>
      </c>
      <c r="E9" s="18">
        <v>0</v>
      </c>
      <c r="F9" s="18">
        <v>0</v>
      </c>
      <c r="G9" s="18">
        <f>E9+F9</f>
        <v>0</v>
      </c>
      <c r="H9" s="18">
        <f>(B9*C9)*0.7%</f>
        <v>38.31776190580251</v>
      </c>
      <c r="I9" s="18">
        <f>(B9*C9)*0.25%</f>
        <v>13.684914966358042</v>
      </c>
      <c r="J9" s="18">
        <f>H9+I9</f>
        <v>52.002676872160556</v>
      </c>
      <c r="K9" s="18">
        <f>(B9*C9)*1.05%</f>
        <v>57.47664285870378</v>
      </c>
      <c r="L9" s="18">
        <f>(B9*C9)*0.375%</f>
        <v>20.52737244953706</v>
      </c>
      <c r="M9" s="18">
        <f>K9+L9</f>
        <v>78.00401530824084</v>
      </c>
      <c r="N9" s="18">
        <f>(B9*C9)*1.75%</f>
        <v>95.7944047645063</v>
      </c>
      <c r="O9" s="18">
        <f>(B9*C9)*0.625%</f>
        <v>34.212287415895105</v>
      </c>
      <c r="P9" s="18">
        <f>N9+O9</f>
        <v>130.0066921804014</v>
      </c>
      <c r="Q9" s="18">
        <f>(B9*C9)*2.5984%</f>
        <v>142.23553219433893</v>
      </c>
      <c r="R9" s="18">
        <f>(B9*C9)*1%</f>
        <v>54.739659865432166</v>
      </c>
      <c r="S9" s="18">
        <f>D9+G9+J9+M9+P9+Q9+R9</f>
        <v>1015.7772164205738</v>
      </c>
      <c r="T9" s="23">
        <f t="shared" si="3"/>
        <v>68.42457483179021</v>
      </c>
      <c r="U9" s="24">
        <f t="shared" si="1"/>
        <v>255.8196200969189</v>
      </c>
      <c r="V9" s="24">
        <f>U9/4</f>
        <v>63.954905024229724</v>
      </c>
      <c r="W9" s="285" t="str">
        <f t="shared" si="2"/>
        <v>C</v>
      </c>
      <c r="X9" s="18">
        <f t="shared" si="2"/>
        <v>176.579547953007</v>
      </c>
      <c r="Y9" s="17">
        <v>61</v>
      </c>
      <c r="Z9" s="18">
        <f>(X9*Y9)*2%</f>
        <v>215.42704850266855</v>
      </c>
      <c r="AA9" s="18">
        <f>(X9*Y9)*3.15%</f>
        <v>339.297601391703</v>
      </c>
      <c r="AB9" s="18">
        <f>(X9*Y9)*1.125%</f>
        <v>121.17771478275105</v>
      </c>
      <c r="AC9" s="18">
        <f>AA9+AB9</f>
        <v>460.47531617445406</v>
      </c>
      <c r="AD9" s="18">
        <f>(X9*Y9)*5%</f>
        <v>538.5676212566714</v>
      </c>
      <c r="AE9" s="18">
        <f>Z9+AC9+AD9</f>
        <v>1214.4699859337939</v>
      </c>
    </row>
    <row r="10" spans="1:31" ht="15">
      <c r="A10" s="32" t="str">
        <f>+modsalario2021!B7</f>
        <v>D</v>
      </c>
      <c r="B10" s="18">
        <f>+modsalario2021!Q7</f>
        <v>195.7121636328805</v>
      </c>
      <c r="C10" s="19">
        <v>31</v>
      </c>
      <c r="D10" s="18">
        <f t="shared" si="0"/>
        <v>558.78864</v>
      </c>
      <c r="E10" s="18">
        <v>0</v>
      </c>
      <c r="F10" s="18">
        <v>0</v>
      </c>
      <c r="G10" s="18">
        <f>E10+F10</f>
        <v>0</v>
      </c>
      <c r="H10" s="18">
        <f>(B10*C10)*0.7%</f>
        <v>42.46953950833507</v>
      </c>
      <c r="I10" s="18">
        <f>(B10*C10)*0.25%</f>
        <v>15.16769268154824</v>
      </c>
      <c r="J10" s="18">
        <f>H10+I10</f>
        <v>57.637232189883306</v>
      </c>
      <c r="K10" s="18">
        <f>(B10*C10)*1.05%</f>
        <v>63.70430926250261</v>
      </c>
      <c r="L10" s="18">
        <f>(B10*C10)*0.375%</f>
        <v>22.75153902232236</v>
      </c>
      <c r="M10" s="18">
        <f>K10+L10</f>
        <v>86.45584828482497</v>
      </c>
      <c r="N10" s="18">
        <f>(B10*C10)*1.75%</f>
        <v>106.1738487708377</v>
      </c>
      <c r="O10" s="18">
        <f>(B10*C10)*0.625%</f>
        <v>37.9192317038706</v>
      </c>
      <c r="P10" s="18">
        <f>N10+O10</f>
        <v>144.0930804747083</v>
      </c>
      <c r="Q10" s="18">
        <f>(B10*C10)*2.5984%</f>
        <v>157.64693065493975</v>
      </c>
      <c r="R10" s="18">
        <f>(B10*C10)*1%</f>
        <v>60.67077072619296</v>
      </c>
      <c r="S10" s="18">
        <f>D10+G10+J10+M10+P10+Q10+R10</f>
        <v>1065.2925023305493</v>
      </c>
      <c r="T10" s="23">
        <f t="shared" si="3"/>
        <v>75.8384634077412</v>
      </c>
      <c r="U10" s="24">
        <f t="shared" si="1"/>
        <v>283.53799706313566</v>
      </c>
      <c r="V10" s="24">
        <f>U10/4</f>
        <v>70.88449926578392</v>
      </c>
      <c r="W10" s="285" t="str">
        <f t="shared" si="2"/>
        <v>D</v>
      </c>
      <c r="X10" s="18">
        <f t="shared" si="2"/>
        <v>195.7121636328805</v>
      </c>
      <c r="Y10" s="17">
        <v>61</v>
      </c>
      <c r="Z10" s="18">
        <f>(X10*Y10)*2%</f>
        <v>238.7688396321142</v>
      </c>
      <c r="AA10" s="18">
        <f>(X10*Y10)*3.15%</f>
        <v>376.0609224205799</v>
      </c>
      <c r="AB10" s="18">
        <f>(X10*Y10)*1.125%</f>
        <v>134.30747229306425</v>
      </c>
      <c r="AC10" s="18">
        <f>AA10+AB10</f>
        <v>510.3683947136442</v>
      </c>
      <c r="AD10" s="18">
        <f>(X10*Y10)*5%</f>
        <v>596.9220990802855</v>
      </c>
      <c r="AE10" s="18">
        <f>Z10+AC10+AD10</f>
        <v>1346.0593334260438</v>
      </c>
    </row>
    <row r="11" spans="1:31" ht="15">
      <c r="A11" s="32" t="str">
        <f>+modsalario2021!B8</f>
        <v>E</v>
      </c>
      <c r="B11" s="18">
        <f>+modsalario2021!Q8</f>
        <v>180.57234265382223</v>
      </c>
      <c r="C11" s="19">
        <v>31</v>
      </c>
      <c r="D11" s="18">
        <f t="shared" si="0"/>
        <v>558.78864</v>
      </c>
      <c r="E11" s="18"/>
      <c r="F11" s="18"/>
      <c r="G11" s="18"/>
      <c r="H11" s="18">
        <f>(B11*C11)*0.7%</f>
        <v>39.18419835587942</v>
      </c>
      <c r="I11" s="18">
        <f>(B11*C11)*0.25%</f>
        <v>13.994356555671223</v>
      </c>
      <c r="J11" s="18">
        <f>H11+I11</f>
        <v>53.17855491155064</v>
      </c>
      <c r="K11" s="18">
        <f>(B11*C11)*1.05%</f>
        <v>58.77629753381914</v>
      </c>
      <c r="L11" s="18">
        <f>(B11*C11)*0.375%</f>
        <v>20.991534833506833</v>
      </c>
      <c r="M11" s="18">
        <f>K11+L11</f>
        <v>79.76783236732598</v>
      </c>
      <c r="N11" s="18">
        <f>(B11*C11)*1.75%</f>
        <v>97.96049588969856</v>
      </c>
      <c r="O11" s="18">
        <f>(B11*C11)*0.625%</f>
        <v>34.98589138917806</v>
      </c>
      <c r="P11" s="18">
        <f>N11+O11</f>
        <v>132.9463872788766</v>
      </c>
      <c r="Q11" s="18">
        <f>(B11*C11)*2.5984%</f>
        <v>145.4517442970244</v>
      </c>
      <c r="R11" s="18">
        <f>(B11*C11)*1%</f>
        <v>55.97742622268489</v>
      </c>
      <c r="S11" s="18">
        <f>D11+G11+J11+M11+P11+Q11+R11</f>
        <v>1026.1105850774627</v>
      </c>
      <c r="T11" s="23">
        <f t="shared" si="3"/>
        <v>69.97178277835611</v>
      </c>
      <c r="U11" s="24">
        <f t="shared" si="1"/>
        <v>261.60418141972497</v>
      </c>
      <c r="V11" s="24">
        <f>U11/4</f>
        <v>65.40104535493124</v>
      </c>
      <c r="W11" s="285" t="str">
        <f aca="true" t="shared" si="4" ref="W11:W27">A11</f>
        <v>E</v>
      </c>
      <c r="X11" s="18">
        <f aca="true" t="shared" si="5" ref="X11:X27">B11</f>
        <v>180.57234265382223</v>
      </c>
      <c r="Y11" s="17">
        <v>61</v>
      </c>
      <c r="Z11" s="18">
        <f aca="true" t="shared" si="6" ref="Z11:Z24">(X11*Y11)*2%</f>
        <v>220.29825803766312</v>
      </c>
      <c r="AA11" s="18">
        <f aca="true" t="shared" si="7" ref="AA11:AA24">(X11*Y11)*3.15%</f>
        <v>346.9697564093194</v>
      </c>
      <c r="AB11" s="18">
        <f aca="true" t="shared" si="8" ref="AB11:AB24">(X11*Y11)*1.125%</f>
        <v>123.91777014618549</v>
      </c>
      <c r="AC11" s="18">
        <f aca="true" t="shared" si="9" ref="AC11:AC24">AA11+AB11</f>
        <v>470.8875265555049</v>
      </c>
      <c r="AD11" s="18">
        <f aca="true" t="shared" si="10" ref="AD11:AD24">(X11*Y11)*5%</f>
        <v>550.7456450941578</v>
      </c>
      <c r="AE11" s="18">
        <f aca="true" t="shared" si="11" ref="AE11:AE24">Z11+AC11+AD11</f>
        <v>1241.9314296873258</v>
      </c>
    </row>
    <row r="12" spans="1:31" ht="15">
      <c r="A12" s="32" t="str">
        <f>+modsalario2021!B9</f>
        <v>F</v>
      </c>
      <c r="B12" s="18">
        <f>+modsalario2021!Q9</f>
        <v>195.71260475270168</v>
      </c>
      <c r="C12" s="19">
        <v>31</v>
      </c>
      <c r="D12" s="18">
        <f t="shared" si="0"/>
        <v>558.78864</v>
      </c>
      <c r="E12" s="18">
        <v>0</v>
      </c>
      <c r="F12" s="18">
        <v>0</v>
      </c>
      <c r="G12" s="18">
        <f aca="true" t="shared" si="12" ref="G12:G24">E12+F12</f>
        <v>0</v>
      </c>
      <c r="H12" s="18">
        <f aca="true" t="shared" si="13" ref="H12:H24">(B12*C12)*0.7%</f>
        <v>42.46963523133626</v>
      </c>
      <c r="I12" s="18">
        <f aca="true" t="shared" si="14" ref="I12:I24">(B12*C12)*0.25%</f>
        <v>15.16772686833438</v>
      </c>
      <c r="J12" s="18">
        <f aca="true" t="shared" si="15" ref="J12:J24">H12+I12</f>
        <v>57.63736209967064</v>
      </c>
      <c r="K12" s="18">
        <f aca="true" t="shared" si="16" ref="K12:K24">(B12*C12)*1.05%</f>
        <v>63.7044528470044</v>
      </c>
      <c r="L12" s="18">
        <f aca="true" t="shared" si="17" ref="L12:L24">(B12*C12)*0.375%</f>
        <v>22.75159030250157</v>
      </c>
      <c r="M12" s="18">
        <f aca="true" t="shared" si="18" ref="M12:M24">K12+L12</f>
        <v>86.45604314950597</v>
      </c>
      <c r="N12" s="18">
        <f aca="true" t="shared" si="19" ref="N12:N24">(B12*C12)*1.75%</f>
        <v>106.17408807834067</v>
      </c>
      <c r="O12" s="18">
        <f aca="true" t="shared" si="20" ref="O12:O24">(B12*C12)*0.625%</f>
        <v>37.91931717083595</v>
      </c>
      <c r="P12" s="18">
        <f aca="true" t="shared" si="21" ref="P12:P24">N12+O12</f>
        <v>144.0934052491766</v>
      </c>
      <c r="Q12" s="18">
        <f aca="true" t="shared" si="22" ref="Q12:Q20">(B12*C12)*2.5984%</f>
        <v>157.6472859787202</v>
      </c>
      <c r="R12" s="18">
        <f aca="true" t="shared" si="23" ref="R12:R24">(B12*C12)*1%</f>
        <v>60.67090747333752</v>
      </c>
      <c r="S12" s="18">
        <f aca="true" t="shared" si="24" ref="S12:S24">D12+G12+J12+M12+P12+Q12+R12</f>
        <v>1065.293643950411</v>
      </c>
      <c r="T12" s="23">
        <f t="shared" si="3"/>
        <v>75.8386343416719</v>
      </c>
      <c r="U12" s="24">
        <f t="shared" si="1"/>
        <v>283.5386361354765</v>
      </c>
      <c r="V12" s="24">
        <f aca="true" t="shared" si="25" ref="V12:V24">U12/4</f>
        <v>70.88465903386913</v>
      </c>
      <c r="W12" s="285" t="str">
        <f t="shared" si="4"/>
        <v>F</v>
      </c>
      <c r="X12" s="18">
        <f t="shared" si="5"/>
        <v>195.71260475270168</v>
      </c>
      <c r="Y12" s="17">
        <v>61</v>
      </c>
      <c r="Z12" s="18">
        <f t="shared" si="6"/>
        <v>238.76937779829606</v>
      </c>
      <c r="AA12" s="18">
        <f t="shared" si="7"/>
        <v>376.06177003231625</v>
      </c>
      <c r="AB12" s="18">
        <f t="shared" si="8"/>
        <v>134.3077750115415</v>
      </c>
      <c r="AC12" s="18">
        <f t="shared" si="9"/>
        <v>510.3695450438578</v>
      </c>
      <c r="AD12" s="18">
        <f t="shared" si="10"/>
        <v>596.9234444957401</v>
      </c>
      <c r="AE12" s="18">
        <f t="shared" si="11"/>
        <v>1346.062367337894</v>
      </c>
    </row>
    <row r="13" spans="1:31" ht="15">
      <c r="A13" s="32" t="str">
        <f>+modsalario2021!B10</f>
        <v>G</v>
      </c>
      <c r="B13" s="18">
        <f>+modsalario2021!Q10</f>
        <v>195.47097185205857</v>
      </c>
      <c r="C13" s="19">
        <v>31</v>
      </c>
      <c r="D13" s="18">
        <f t="shared" si="0"/>
        <v>558.78864</v>
      </c>
      <c r="E13" s="18">
        <v>0</v>
      </c>
      <c r="F13" s="18">
        <v>0</v>
      </c>
      <c r="G13" s="18">
        <f t="shared" si="12"/>
        <v>0</v>
      </c>
      <c r="H13" s="18">
        <f t="shared" si="13"/>
        <v>42.417200891896705</v>
      </c>
      <c r="I13" s="18">
        <f t="shared" si="14"/>
        <v>15.149000318534538</v>
      </c>
      <c r="J13" s="18">
        <f t="shared" si="15"/>
        <v>57.566201210431245</v>
      </c>
      <c r="K13" s="18">
        <f t="shared" si="16"/>
        <v>63.62580133784506</v>
      </c>
      <c r="L13" s="18">
        <f t="shared" si="17"/>
        <v>22.723500477801807</v>
      </c>
      <c r="M13" s="18">
        <f t="shared" si="18"/>
        <v>86.34930181564687</v>
      </c>
      <c r="N13" s="18">
        <f t="shared" si="19"/>
        <v>106.04300222974177</v>
      </c>
      <c r="O13" s="18">
        <f t="shared" si="20"/>
        <v>37.87250079633635</v>
      </c>
      <c r="P13" s="18">
        <f t="shared" si="21"/>
        <v>143.9155030260781</v>
      </c>
      <c r="Q13" s="18">
        <f t="shared" si="22"/>
        <v>157.45264971072055</v>
      </c>
      <c r="R13" s="18">
        <f t="shared" si="23"/>
        <v>60.59600127413815</v>
      </c>
      <c r="S13" s="18">
        <f t="shared" si="24"/>
        <v>1064.668297037015</v>
      </c>
      <c r="T13" s="23">
        <f t="shared" si="3"/>
        <v>75.7450015926727</v>
      </c>
      <c r="U13" s="24">
        <f t="shared" si="1"/>
        <v>283.1885704706699</v>
      </c>
      <c r="V13" s="24">
        <f t="shared" si="25"/>
        <v>70.79714261766748</v>
      </c>
      <c r="W13" s="285" t="str">
        <f t="shared" si="4"/>
        <v>G</v>
      </c>
      <c r="X13" s="18">
        <f t="shared" si="5"/>
        <v>195.47097185205857</v>
      </c>
      <c r="Y13" s="17">
        <v>61</v>
      </c>
      <c r="Z13" s="18">
        <f t="shared" si="6"/>
        <v>238.47458565951146</v>
      </c>
      <c r="AA13" s="18">
        <f t="shared" si="7"/>
        <v>375.59747241373054</v>
      </c>
      <c r="AB13" s="18">
        <f t="shared" si="8"/>
        <v>134.1419544334752</v>
      </c>
      <c r="AC13" s="18">
        <f t="shared" si="9"/>
        <v>509.7394268472058</v>
      </c>
      <c r="AD13" s="18">
        <f t="shared" si="10"/>
        <v>596.1864641487787</v>
      </c>
      <c r="AE13" s="18">
        <f t="shared" si="11"/>
        <v>1344.4004766554958</v>
      </c>
    </row>
    <row r="14" spans="1:31" ht="15">
      <c r="A14" s="32" t="str">
        <f>+modsalario2021!B11</f>
        <v>H</v>
      </c>
      <c r="B14" s="18">
        <f>+modsalario2021!Q11</f>
        <v>170.4284355201248</v>
      </c>
      <c r="C14" s="19">
        <v>31</v>
      </c>
      <c r="D14" s="18">
        <f t="shared" si="0"/>
        <v>558.78864</v>
      </c>
      <c r="E14" s="18">
        <v>0</v>
      </c>
      <c r="F14" s="18">
        <v>0</v>
      </c>
      <c r="G14" s="18">
        <f t="shared" si="12"/>
        <v>0</v>
      </c>
      <c r="H14" s="18">
        <f t="shared" si="13"/>
        <v>36.98297050786708</v>
      </c>
      <c r="I14" s="18">
        <f t="shared" si="14"/>
        <v>13.208203752809673</v>
      </c>
      <c r="J14" s="18">
        <f t="shared" si="15"/>
        <v>50.19117426067675</v>
      </c>
      <c r="K14" s="18">
        <f t="shared" si="16"/>
        <v>55.47445576180063</v>
      </c>
      <c r="L14" s="18">
        <f t="shared" si="17"/>
        <v>19.812305629214507</v>
      </c>
      <c r="M14" s="18">
        <f t="shared" si="18"/>
        <v>75.28676139101513</v>
      </c>
      <c r="N14" s="18">
        <f t="shared" si="19"/>
        <v>92.45742626966772</v>
      </c>
      <c r="O14" s="18">
        <f t="shared" si="20"/>
        <v>33.02050938202418</v>
      </c>
      <c r="P14" s="18">
        <f t="shared" si="21"/>
        <v>125.4779356516919</v>
      </c>
      <c r="Q14" s="18">
        <f t="shared" si="22"/>
        <v>137.2807865252026</v>
      </c>
      <c r="R14" s="18">
        <f t="shared" si="23"/>
        <v>52.832815011238694</v>
      </c>
      <c r="S14" s="18">
        <f t="shared" si="24"/>
        <v>999.8581128398251</v>
      </c>
      <c r="T14" s="23">
        <f t="shared" si="3"/>
        <v>66.04101876404836</v>
      </c>
      <c r="U14" s="24">
        <f t="shared" si="1"/>
        <v>246.9081959597808</v>
      </c>
      <c r="V14" s="24">
        <f t="shared" si="25"/>
        <v>61.7270489899452</v>
      </c>
      <c r="W14" s="285" t="str">
        <f t="shared" si="4"/>
        <v>H</v>
      </c>
      <c r="X14" s="18">
        <f t="shared" si="5"/>
        <v>170.4284355201248</v>
      </c>
      <c r="Y14" s="17">
        <v>61</v>
      </c>
      <c r="Z14" s="18">
        <f t="shared" si="6"/>
        <v>207.92269133455227</v>
      </c>
      <c r="AA14" s="18">
        <f t="shared" si="7"/>
        <v>327.4782388519198</v>
      </c>
      <c r="AB14" s="18">
        <f t="shared" si="8"/>
        <v>116.95651387568564</v>
      </c>
      <c r="AC14" s="18">
        <f t="shared" si="9"/>
        <v>444.4347527276054</v>
      </c>
      <c r="AD14" s="18">
        <f t="shared" si="10"/>
        <v>519.8067283363806</v>
      </c>
      <c r="AE14" s="18">
        <f t="shared" si="11"/>
        <v>1172.1641723985383</v>
      </c>
    </row>
    <row r="15" spans="1:31" ht="15">
      <c r="A15" s="32" t="str">
        <f>+modsalario2021!B12</f>
        <v>I</v>
      </c>
      <c r="B15" s="18">
        <f>+modsalario2021!Q12</f>
        <v>194.7476712328767</v>
      </c>
      <c r="C15" s="19">
        <v>31</v>
      </c>
      <c r="D15" s="18">
        <f t="shared" si="0"/>
        <v>558.78864</v>
      </c>
      <c r="E15" s="18">
        <v>0</v>
      </c>
      <c r="F15" s="18">
        <v>0</v>
      </c>
      <c r="G15" s="18">
        <f t="shared" si="12"/>
        <v>0</v>
      </c>
      <c r="H15" s="18">
        <f t="shared" si="13"/>
        <v>42.26024465753424</v>
      </c>
      <c r="I15" s="18">
        <f t="shared" si="14"/>
        <v>15.092944520547945</v>
      </c>
      <c r="J15" s="18">
        <f t="shared" si="15"/>
        <v>57.35318917808218</v>
      </c>
      <c r="K15" s="18">
        <f t="shared" si="16"/>
        <v>63.390366986301366</v>
      </c>
      <c r="L15" s="18">
        <f t="shared" si="17"/>
        <v>22.639416780821914</v>
      </c>
      <c r="M15" s="18">
        <f t="shared" si="18"/>
        <v>86.02978376712328</v>
      </c>
      <c r="N15" s="18">
        <f t="shared" si="19"/>
        <v>105.65061164383562</v>
      </c>
      <c r="O15" s="18">
        <f t="shared" si="20"/>
        <v>37.73236130136986</v>
      </c>
      <c r="P15" s="18">
        <f t="shared" si="21"/>
        <v>143.3829729452055</v>
      </c>
      <c r="Q15" s="18">
        <f t="shared" si="22"/>
        <v>156.8700281687671</v>
      </c>
      <c r="R15" s="18">
        <f t="shared" si="23"/>
        <v>60.37177808219178</v>
      </c>
      <c r="S15" s="18">
        <f t="shared" si="24"/>
        <v>1062.7963921413698</v>
      </c>
      <c r="T15" s="23">
        <f t="shared" si="3"/>
        <v>75.46472260273973</v>
      </c>
      <c r="U15" s="24">
        <f t="shared" si="1"/>
        <v>282.14068869863013</v>
      </c>
      <c r="V15" s="24">
        <f t="shared" si="25"/>
        <v>70.53517217465753</v>
      </c>
      <c r="W15" s="285" t="str">
        <f t="shared" si="4"/>
        <v>I</v>
      </c>
      <c r="X15" s="18">
        <f t="shared" si="5"/>
        <v>194.7476712328767</v>
      </c>
      <c r="Y15" s="17">
        <v>61</v>
      </c>
      <c r="Z15" s="18">
        <f t="shared" si="6"/>
        <v>237.5921589041096</v>
      </c>
      <c r="AA15" s="18">
        <f t="shared" si="7"/>
        <v>374.2076502739726</v>
      </c>
      <c r="AB15" s="18">
        <f t="shared" si="8"/>
        <v>133.64558938356166</v>
      </c>
      <c r="AC15" s="18">
        <f t="shared" si="9"/>
        <v>507.85323965753423</v>
      </c>
      <c r="AD15" s="18">
        <f t="shared" si="10"/>
        <v>593.980397260274</v>
      </c>
      <c r="AE15" s="18">
        <f t="shared" si="11"/>
        <v>1339.4257958219177</v>
      </c>
    </row>
    <row r="16" spans="1:31" ht="15">
      <c r="A16" s="32" t="str">
        <f>+modsalario2021!B13</f>
        <v>J</v>
      </c>
      <c r="B16" s="18">
        <f>+modsalario2021!Q13</f>
        <v>194.98886301369862</v>
      </c>
      <c r="C16" s="19">
        <v>31</v>
      </c>
      <c r="D16" s="18">
        <f t="shared" si="0"/>
        <v>558.78864</v>
      </c>
      <c r="E16" s="18">
        <v>0</v>
      </c>
      <c r="F16" s="18">
        <v>0</v>
      </c>
      <c r="G16" s="18">
        <f t="shared" si="12"/>
        <v>0</v>
      </c>
      <c r="H16" s="18">
        <f t="shared" si="13"/>
        <v>42.3125832739726</v>
      </c>
      <c r="I16" s="18">
        <f t="shared" si="14"/>
        <v>15.111636883561644</v>
      </c>
      <c r="J16" s="18">
        <f t="shared" si="15"/>
        <v>57.42422015753424</v>
      </c>
      <c r="K16" s="18">
        <f t="shared" si="16"/>
        <v>63.46887491095891</v>
      </c>
      <c r="L16" s="18">
        <f t="shared" si="17"/>
        <v>22.667455325342466</v>
      </c>
      <c r="M16" s="18">
        <f t="shared" si="18"/>
        <v>86.13633023630138</v>
      </c>
      <c r="N16" s="18">
        <f t="shared" si="19"/>
        <v>105.78145818493151</v>
      </c>
      <c r="O16" s="18">
        <f t="shared" si="20"/>
        <v>37.77909220890411</v>
      </c>
      <c r="P16" s="18">
        <f t="shared" si="21"/>
        <v>143.56055039383563</v>
      </c>
      <c r="Q16" s="18">
        <f t="shared" si="22"/>
        <v>157.06430911298628</v>
      </c>
      <c r="R16" s="18">
        <f t="shared" si="23"/>
        <v>60.44654753424658</v>
      </c>
      <c r="S16" s="18">
        <f t="shared" si="24"/>
        <v>1063.4205974349043</v>
      </c>
      <c r="T16" s="23">
        <f t="shared" si="3"/>
        <v>75.55818441780822</v>
      </c>
      <c r="U16" s="24">
        <f t="shared" si="1"/>
        <v>282.4901152910959</v>
      </c>
      <c r="V16" s="24">
        <f t="shared" si="25"/>
        <v>70.62252882277397</v>
      </c>
      <c r="W16" s="285" t="str">
        <f t="shared" si="4"/>
        <v>J</v>
      </c>
      <c r="X16" s="18">
        <f t="shared" si="5"/>
        <v>194.98886301369862</v>
      </c>
      <c r="Y16" s="17">
        <v>61</v>
      </c>
      <c r="Z16" s="18">
        <f t="shared" si="6"/>
        <v>237.8864128767123</v>
      </c>
      <c r="AA16" s="18">
        <f t="shared" si="7"/>
        <v>374.6711002808219</v>
      </c>
      <c r="AB16" s="18">
        <f t="shared" si="8"/>
        <v>133.81110724315067</v>
      </c>
      <c r="AC16" s="18">
        <f t="shared" si="9"/>
        <v>508.4822075239726</v>
      </c>
      <c r="AD16" s="18">
        <f t="shared" si="10"/>
        <v>594.7160321917808</v>
      </c>
      <c r="AE16" s="18">
        <f t="shared" si="11"/>
        <v>1341.0846525924658</v>
      </c>
    </row>
    <row r="17" spans="1:31" ht="15">
      <c r="A17" s="32" t="str">
        <f>+modsalario2021!B14</f>
        <v>K</v>
      </c>
      <c r="B17" s="18">
        <f>+modsalario2021!Q14</f>
        <v>307.9242339737279</v>
      </c>
      <c r="C17" s="19">
        <v>31</v>
      </c>
      <c r="D17" s="18">
        <f t="shared" si="0"/>
        <v>558.78864</v>
      </c>
      <c r="E17" s="18">
        <f>(((B17-(86.88*3))*30.4)*1.1%)</f>
        <v>15.811847840814613</v>
      </c>
      <c r="F17" s="18">
        <f>(((B17-(86.88*3))*30.4)*0.4%)</f>
        <v>5.749762851205314</v>
      </c>
      <c r="G17" s="18">
        <f t="shared" si="12"/>
        <v>21.561610692019926</v>
      </c>
      <c r="H17" s="18">
        <f t="shared" si="13"/>
        <v>66.81955877229895</v>
      </c>
      <c r="I17" s="18">
        <f t="shared" si="14"/>
        <v>23.864128132963913</v>
      </c>
      <c r="J17" s="18">
        <f t="shared" si="15"/>
        <v>90.68368690526286</v>
      </c>
      <c r="K17" s="18">
        <f t="shared" si="16"/>
        <v>100.22933815844843</v>
      </c>
      <c r="L17" s="18">
        <f t="shared" si="17"/>
        <v>35.79619219944586</v>
      </c>
      <c r="M17" s="18">
        <f t="shared" si="18"/>
        <v>136.0255303578943</v>
      </c>
      <c r="N17" s="18">
        <f t="shared" si="19"/>
        <v>167.0488969307474</v>
      </c>
      <c r="O17" s="18">
        <f t="shared" si="20"/>
        <v>59.66032033240978</v>
      </c>
      <c r="P17" s="18">
        <f t="shared" si="21"/>
        <v>226.70921726315717</v>
      </c>
      <c r="Q17" s="18">
        <f t="shared" si="22"/>
        <v>248.03420216277368</v>
      </c>
      <c r="R17" s="18">
        <f t="shared" si="23"/>
        <v>95.45651253185565</v>
      </c>
      <c r="S17" s="18">
        <f t="shared" si="24"/>
        <v>1377.2593999129635</v>
      </c>
      <c r="T17" s="23">
        <f t="shared" si="3"/>
        <v>125.07040351602487</v>
      </c>
      <c r="U17" s="24">
        <f t="shared" si="1"/>
        <v>457.6047596718489</v>
      </c>
      <c r="V17" s="24">
        <f t="shared" si="25"/>
        <v>114.40118991796223</v>
      </c>
      <c r="W17" s="285" t="str">
        <f t="shared" si="4"/>
        <v>K</v>
      </c>
      <c r="X17" s="18">
        <f t="shared" si="5"/>
        <v>307.9242339737279</v>
      </c>
      <c r="Y17" s="17">
        <v>61</v>
      </c>
      <c r="Z17" s="18">
        <f t="shared" si="6"/>
        <v>375.667565447948</v>
      </c>
      <c r="AA17" s="18">
        <f t="shared" si="7"/>
        <v>591.6764155805181</v>
      </c>
      <c r="AB17" s="18">
        <f t="shared" si="8"/>
        <v>211.31300556447073</v>
      </c>
      <c r="AC17" s="18">
        <f t="shared" si="9"/>
        <v>802.9894211449888</v>
      </c>
      <c r="AD17" s="18">
        <f t="shared" si="10"/>
        <v>939.1689136198701</v>
      </c>
      <c r="AE17" s="18">
        <f t="shared" si="11"/>
        <v>2117.825900212807</v>
      </c>
    </row>
    <row r="18" spans="1:31" ht="15" hidden="1">
      <c r="A18" s="32"/>
      <c r="B18" s="18">
        <v>158</v>
      </c>
      <c r="C18" s="19">
        <v>31</v>
      </c>
      <c r="D18" s="18">
        <f t="shared" si="0"/>
        <v>558.78864</v>
      </c>
      <c r="E18" s="18">
        <v>0</v>
      </c>
      <c r="F18" s="18">
        <v>0</v>
      </c>
      <c r="G18" s="18">
        <f t="shared" si="12"/>
        <v>0</v>
      </c>
      <c r="H18" s="18">
        <f t="shared" si="13"/>
        <v>34.285999999999994</v>
      </c>
      <c r="I18" s="18">
        <f t="shared" si="14"/>
        <v>12.245000000000001</v>
      </c>
      <c r="J18" s="18">
        <f t="shared" si="15"/>
        <v>46.53099999999999</v>
      </c>
      <c r="K18" s="18">
        <f t="shared" si="16"/>
        <v>51.429</v>
      </c>
      <c r="L18" s="18">
        <f t="shared" si="17"/>
        <v>18.3675</v>
      </c>
      <c r="M18" s="18">
        <f t="shared" si="18"/>
        <v>69.79650000000001</v>
      </c>
      <c r="N18" s="18">
        <f t="shared" si="19"/>
        <v>85.715</v>
      </c>
      <c r="O18" s="18">
        <f t="shared" si="20"/>
        <v>30.6125</v>
      </c>
      <c r="P18" s="18">
        <f t="shared" si="21"/>
        <v>116.3275</v>
      </c>
      <c r="Q18" s="18">
        <f t="shared" si="22"/>
        <v>127.26963199999999</v>
      </c>
      <c r="R18" s="18">
        <f t="shared" si="23"/>
        <v>48.980000000000004</v>
      </c>
      <c r="S18" s="18">
        <f t="shared" si="24"/>
        <v>967.693272</v>
      </c>
      <c r="T18" s="23">
        <f t="shared" si="3"/>
        <v>61.22500000000001</v>
      </c>
      <c r="U18" s="24">
        <f t="shared" si="1"/>
        <v>228.9025</v>
      </c>
      <c r="V18" s="24">
        <f t="shared" si="25"/>
        <v>57.225625</v>
      </c>
      <c r="W18" s="285">
        <f t="shared" si="4"/>
        <v>0</v>
      </c>
      <c r="X18" s="18">
        <f t="shared" si="5"/>
        <v>158</v>
      </c>
      <c r="Y18" s="17">
        <v>61</v>
      </c>
      <c r="Z18" s="18">
        <f t="shared" si="6"/>
        <v>192.76</v>
      </c>
      <c r="AA18" s="18">
        <f t="shared" si="7"/>
        <v>303.597</v>
      </c>
      <c r="AB18" s="18">
        <f t="shared" si="8"/>
        <v>108.4275</v>
      </c>
      <c r="AC18" s="18">
        <f t="shared" si="9"/>
        <v>412.0245</v>
      </c>
      <c r="AD18" s="18">
        <f t="shared" si="10"/>
        <v>481.90000000000003</v>
      </c>
      <c r="AE18" s="18">
        <f t="shared" si="11"/>
        <v>1086.6845</v>
      </c>
    </row>
    <row r="19" spans="1:31" ht="15">
      <c r="A19" s="32" t="str">
        <f>+modsalario2021!B15</f>
        <v>L </v>
      </c>
      <c r="B19" s="18">
        <f>+modsalario2021!Q15</f>
        <v>194.98886301369862</v>
      </c>
      <c r="C19" s="19">
        <v>31</v>
      </c>
      <c r="D19" s="18">
        <f t="shared" si="0"/>
        <v>558.78864</v>
      </c>
      <c r="E19" s="18">
        <v>0</v>
      </c>
      <c r="F19" s="18">
        <v>0</v>
      </c>
      <c r="G19" s="18">
        <f t="shared" si="12"/>
        <v>0</v>
      </c>
      <c r="H19" s="18">
        <f t="shared" si="13"/>
        <v>42.3125832739726</v>
      </c>
      <c r="I19" s="18">
        <f t="shared" si="14"/>
        <v>15.111636883561644</v>
      </c>
      <c r="J19" s="18">
        <f t="shared" si="15"/>
        <v>57.42422015753424</v>
      </c>
      <c r="K19" s="18">
        <f t="shared" si="16"/>
        <v>63.46887491095891</v>
      </c>
      <c r="L19" s="18">
        <f t="shared" si="17"/>
        <v>22.667455325342466</v>
      </c>
      <c r="M19" s="18">
        <f t="shared" si="18"/>
        <v>86.13633023630138</v>
      </c>
      <c r="N19" s="18">
        <f t="shared" si="19"/>
        <v>105.78145818493151</v>
      </c>
      <c r="O19" s="18">
        <f t="shared" si="20"/>
        <v>37.77909220890411</v>
      </c>
      <c r="P19" s="18">
        <f t="shared" si="21"/>
        <v>143.56055039383563</v>
      </c>
      <c r="Q19" s="18">
        <f t="shared" si="22"/>
        <v>157.06430911298628</v>
      </c>
      <c r="R19" s="18">
        <f t="shared" si="23"/>
        <v>60.44654753424658</v>
      </c>
      <c r="S19" s="18">
        <f t="shared" si="24"/>
        <v>1063.4205974349043</v>
      </c>
      <c r="T19" s="23">
        <f t="shared" si="3"/>
        <v>75.55818441780822</v>
      </c>
      <c r="U19" s="24">
        <f t="shared" si="1"/>
        <v>282.4901152910959</v>
      </c>
      <c r="V19" s="24">
        <f t="shared" si="25"/>
        <v>70.62252882277397</v>
      </c>
      <c r="W19" s="285" t="str">
        <f t="shared" si="4"/>
        <v>L </v>
      </c>
      <c r="X19" s="18">
        <f t="shared" si="5"/>
        <v>194.98886301369862</v>
      </c>
      <c r="Y19" s="17">
        <v>61</v>
      </c>
      <c r="Z19" s="18">
        <f t="shared" si="6"/>
        <v>237.8864128767123</v>
      </c>
      <c r="AA19" s="18">
        <f t="shared" si="7"/>
        <v>374.6711002808219</v>
      </c>
      <c r="AB19" s="18">
        <f t="shared" si="8"/>
        <v>133.81110724315067</v>
      </c>
      <c r="AC19" s="18">
        <f t="shared" si="9"/>
        <v>508.4822075239726</v>
      </c>
      <c r="AD19" s="18">
        <f t="shared" si="10"/>
        <v>594.7160321917808</v>
      </c>
      <c r="AE19" s="18">
        <f t="shared" si="11"/>
        <v>1341.0846525924658</v>
      </c>
    </row>
    <row r="20" spans="1:31" ht="15">
      <c r="A20" s="32" t="str">
        <f>+modsalario2021!B16</f>
        <v>LL</v>
      </c>
      <c r="B20" s="18">
        <f>+modsalario2021!Q16</f>
        <v>170.0107193883578</v>
      </c>
      <c r="C20" s="19">
        <v>31</v>
      </c>
      <c r="D20" s="18">
        <f t="shared" si="0"/>
        <v>558.78864</v>
      </c>
      <c r="E20" s="18">
        <v>0</v>
      </c>
      <c r="F20" s="18">
        <v>0</v>
      </c>
      <c r="G20" s="18">
        <f t="shared" si="12"/>
        <v>0</v>
      </c>
      <c r="H20" s="18">
        <f t="shared" si="13"/>
        <v>36.89232610727364</v>
      </c>
      <c r="I20" s="18">
        <f t="shared" si="14"/>
        <v>13.175830752597731</v>
      </c>
      <c r="J20" s="18">
        <f t="shared" si="15"/>
        <v>50.06815685987137</v>
      </c>
      <c r="K20" s="18">
        <f t="shared" si="16"/>
        <v>55.33848916091047</v>
      </c>
      <c r="L20" s="18">
        <f t="shared" si="17"/>
        <v>19.763746128896596</v>
      </c>
      <c r="M20" s="18">
        <f t="shared" si="18"/>
        <v>75.10223528980707</v>
      </c>
      <c r="N20" s="18">
        <f t="shared" si="19"/>
        <v>92.23081526818412</v>
      </c>
      <c r="O20" s="18">
        <f t="shared" si="20"/>
        <v>32.939576881494325</v>
      </c>
      <c r="P20" s="18">
        <f t="shared" si="21"/>
        <v>125.17039214967843</v>
      </c>
      <c r="Q20" s="18">
        <f t="shared" si="22"/>
        <v>136.94431451019975</v>
      </c>
      <c r="R20" s="18">
        <f t="shared" si="23"/>
        <v>52.703323010390925</v>
      </c>
      <c r="S20" s="18">
        <f t="shared" si="24"/>
        <v>998.7770618199474</v>
      </c>
      <c r="T20" s="23">
        <f t="shared" si="3"/>
        <v>65.87915376298865</v>
      </c>
      <c r="U20" s="24">
        <f t="shared" si="1"/>
        <v>246.30302971388338</v>
      </c>
      <c r="V20" s="24">
        <f t="shared" si="25"/>
        <v>61.575757428470844</v>
      </c>
      <c r="W20" s="285" t="str">
        <f t="shared" si="4"/>
        <v>LL</v>
      </c>
      <c r="X20" s="18">
        <f t="shared" si="5"/>
        <v>170.0107193883578</v>
      </c>
      <c r="Y20" s="17">
        <v>61</v>
      </c>
      <c r="Z20" s="18">
        <f t="shared" si="6"/>
        <v>207.41307765379653</v>
      </c>
      <c r="AA20" s="18">
        <f t="shared" si="7"/>
        <v>326.67559730472954</v>
      </c>
      <c r="AB20" s="18">
        <f t="shared" si="8"/>
        <v>116.66985618026055</v>
      </c>
      <c r="AC20" s="18">
        <f t="shared" si="9"/>
        <v>443.3454534849901</v>
      </c>
      <c r="AD20" s="18">
        <f t="shared" si="10"/>
        <v>518.5326941344914</v>
      </c>
      <c r="AE20" s="18">
        <f t="shared" si="11"/>
        <v>1169.291225273278</v>
      </c>
    </row>
    <row r="21" spans="1:31" ht="15">
      <c r="A21" s="32" t="str">
        <f>+modsalario2021!B17</f>
        <v>M</v>
      </c>
      <c r="B21" s="18">
        <f>+modsalario2021!Q17</f>
        <v>170.01043767196674</v>
      </c>
      <c r="C21" s="19">
        <v>31</v>
      </c>
      <c r="D21" s="18">
        <f t="shared" si="0"/>
        <v>558.78864</v>
      </c>
      <c r="E21" s="18">
        <v>0</v>
      </c>
      <c r="F21" s="18">
        <v>0</v>
      </c>
      <c r="G21" s="18">
        <f t="shared" si="12"/>
        <v>0</v>
      </c>
      <c r="H21" s="18">
        <f t="shared" si="13"/>
        <v>36.89226497481678</v>
      </c>
      <c r="I21" s="18">
        <f t="shared" si="14"/>
        <v>13.175808919577424</v>
      </c>
      <c r="J21" s="18">
        <f t="shared" si="15"/>
        <v>50.0680738943942</v>
      </c>
      <c r="K21" s="18">
        <f t="shared" si="16"/>
        <v>55.33839746222518</v>
      </c>
      <c r="L21" s="18">
        <f t="shared" si="17"/>
        <v>19.763713379366134</v>
      </c>
      <c r="M21" s="18">
        <f t="shared" si="18"/>
        <v>75.10211084159131</v>
      </c>
      <c r="N21" s="18">
        <f t="shared" si="19"/>
        <v>92.23066243704197</v>
      </c>
      <c r="O21" s="18">
        <f t="shared" si="20"/>
        <v>32.93952229894356</v>
      </c>
      <c r="P21" s="18">
        <f t="shared" si="21"/>
        <v>125.17018473598553</v>
      </c>
      <c r="Q21" s="18">
        <f aca="true" t="shared" si="26" ref="Q21:Q27">(B21*C21)*0.54355%</f>
        <v>28.64684375294523</v>
      </c>
      <c r="R21" s="18">
        <f t="shared" si="23"/>
        <v>52.703235678309696</v>
      </c>
      <c r="S21" s="18">
        <f t="shared" si="24"/>
        <v>890.4790889032259</v>
      </c>
      <c r="T21" s="23">
        <f t="shared" si="3"/>
        <v>65.87904459788712</v>
      </c>
      <c r="U21" s="24">
        <f t="shared" si="1"/>
        <v>246.3026215772618</v>
      </c>
      <c r="V21" s="24">
        <f t="shared" si="25"/>
        <v>61.57565539431545</v>
      </c>
      <c r="W21" s="285" t="str">
        <f t="shared" si="4"/>
        <v>M</v>
      </c>
      <c r="X21" s="18">
        <f t="shared" si="5"/>
        <v>170.01043767196674</v>
      </c>
      <c r="Y21" s="17">
        <v>61</v>
      </c>
      <c r="Z21" s="18">
        <f t="shared" si="6"/>
        <v>207.41273395979943</v>
      </c>
      <c r="AA21" s="18">
        <f t="shared" si="7"/>
        <v>326.6750559866841</v>
      </c>
      <c r="AB21" s="18">
        <f t="shared" si="8"/>
        <v>116.66966285238716</v>
      </c>
      <c r="AC21" s="18">
        <f t="shared" si="9"/>
        <v>443.3447188390712</v>
      </c>
      <c r="AD21" s="18">
        <f t="shared" si="10"/>
        <v>518.5318348994986</v>
      </c>
      <c r="AE21" s="18">
        <f t="shared" si="11"/>
        <v>1169.2892876983692</v>
      </c>
    </row>
    <row r="22" spans="1:31" ht="15">
      <c r="A22" s="32" t="str">
        <f>+modsalario2021!B18</f>
        <v>N</v>
      </c>
      <c r="B22" s="18">
        <f>+modsalario2021!Q18</f>
        <v>169.8017808219178</v>
      </c>
      <c r="C22" s="19">
        <v>31</v>
      </c>
      <c r="D22" s="18">
        <f t="shared" si="0"/>
        <v>558.78864</v>
      </c>
      <c r="E22" s="18">
        <v>0</v>
      </c>
      <c r="F22" s="18">
        <v>0</v>
      </c>
      <c r="G22" s="18">
        <f t="shared" si="12"/>
        <v>0</v>
      </c>
      <c r="H22" s="18">
        <f t="shared" si="13"/>
        <v>36.84698643835616</v>
      </c>
      <c r="I22" s="18">
        <f t="shared" si="14"/>
        <v>13.159638013698629</v>
      </c>
      <c r="J22" s="18">
        <f t="shared" si="15"/>
        <v>50.006624452054794</v>
      </c>
      <c r="K22" s="18">
        <f t="shared" si="16"/>
        <v>55.270479657534246</v>
      </c>
      <c r="L22" s="18">
        <f t="shared" si="17"/>
        <v>19.739457020547942</v>
      </c>
      <c r="M22" s="18">
        <f t="shared" si="18"/>
        <v>75.00993667808218</v>
      </c>
      <c r="N22" s="18">
        <f t="shared" si="19"/>
        <v>92.11746609589042</v>
      </c>
      <c r="O22" s="18">
        <f t="shared" si="20"/>
        <v>32.89909503424658</v>
      </c>
      <c r="P22" s="18">
        <f t="shared" si="21"/>
        <v>125.016561130137</v>
      </c>
      <c r="Q22" s="18">
        <f t="shared" si="26"/>
        <v>28.611684969383557</v>
      </c>
      <c r="R22" s="18">
        <f t="shared" si="23"/>
        <v>52.638552054794516</v>
      </c>
      <c r="S22" s="18">
        <f t="shared" si="24"/>
        <v>890.0719992844521</v>
      </c>
      <c r="T22" s="23">
        <f t="shared" si="3"/>
        <v>65.79819006849314</v>
      </c>
      <c r="U22" s="24">
        <f t="shared" si="1"/>
        <v>246.0003299657534</v>
      </c>
      <c r="V22" s="24">
        <f t="shared" si="25"/>
        <v>61.50008249143835</v>
      </c>
      <c r="W22" s="285" t="str">
        <f t="shared" si="4"/>
        <v>N</v>
      </c>
      <c r="X22" s="18">
        <f t="shared" si="5"/>
        <v>169.8017808219178</v>
      </c>
      <c r="Y22" s="17">
        <v>61</v>
      </c>
      <c r="Z22" s="18">
        <f t="shared" si="6"/>
        <v>207.15817260273968</v>
      </c>
      <c r="AA22" s="18">
        <f t="shared" si="7"/>
        <v>326.274121849315</v>
      </c>
      <c r="AB22" s="18">
        <f t="shared" si="8"/>
        <v>116.52647208904106</v>
      </c>
      <c r="AC22" s="18">
        <f t="shared" si="9"/>
        <v>442.8005939383561</v>
      </c>
      <c r="AD22" s="18">
        <f t="shared" si="10"/>
        <v>517.8954315068493</v>
      </c>
      <c r="AE22" s="18">
        <f t="shared" si="11"/>
        <v>1167.854198047945</v>
      </c>
    </row>
    <row r="23" spans="1:31" ht="15">
      <c r="A23" s="32" t="str">
        <f>+modsalario2021!B19</f>
        <v>Ñ</v>
      </c>
      <c r="B23" s="18">
        <f>+modsalario2021!Q19</f>
        <v>169.8017808219178</v>
      </c>
      <c r="C23" s="19">
        <v>31</v>
      </c>
      <c r="D23" s="18">
        <f t="shared" si="0"/>
        <v>558.78864</v>
      </c>
      <c r="E23" s="18">
        <v>0</v>
      </c>
      <c r="F23" s="18">
        <v>0</v>
      </c>
      <c r="G23" s="18">
        <f t="shared" si="12"/>
        <v>0</v>
      </c>
      <c r="H23" s="18">
        <f t="shared" si="13"/>
        <v>36.84698643835616</v>
      </c>
      <c r="I23" s="18">
        <f t="shared" si="14"/>
        <v>13.159638013698629</v>
      </c>
      <c r="J23" s="18">
        <f t="shared" si="15"/>
        <v>50.006624452054794</v>
      </c>
      <c r="K23" s="18">
        <f t="shared" si="16"/>
        <v>55.270479657534246</v>
      </c>
      <c r="L23" s="18">
        <f t="shared" si="17"/>
        <v>19.739457020547942</v>
      </c>
      <c r="M23" s="18">
        <f t="shared" si="18"/>
        <v>75.00993667808218</v>
      </c>
      <c r="N23" s="18">
        <f t="shared" si="19"/>
        <v>92.11746609589042</v>
      </c>
      <c r="O23" s="18">
        <f t="shared" si="20"/>
        <v>32.89909503424658</v>
      </c>
      <c r="P23" s="18">
        <f t="shared" si="21"/>
        <v>125.016561130137</v>
      </c>
      <c r="Q23" s="18">
        <f t="shared" si="26"/>
        <v>28.611684969383557</v>
      </c>
      <c r="R23" s="18">
        <f t="shared" si="23"/>
        <v>52.638552054794516</v>
      </c>
      <c r="S23" s="18">
        <f t="shared" si="24"/>
        <v>890.0719992844521</v>
      </c>
      <c r="T23" s="23">
        <f t="shared" si="3"/>
        <v>65.79819006849314</v>
      </c>
      <c r="U23" s="24">
        <f t="shared" si="1"/>
        <v>246.0003299657534</v>
      </c>
      <c r="V23" s="24">
        <f t="shared" si="25"/>
        <v>61.50008249143835</v>
      </c>
      <c r="W23" s="285" t="str">
        <f t="shared" si="4"/>
        <v>Ñ</v>
      </c>
      <c r="X23" s="18">
        <f t="shared" si="5"/>
        <v>169.8017808219178</v>
      </c>
      <c r="Y23" s="17">
        <v>61</v>
      </c>
      <c r="Z23" s="18">
        <f t="shared" si="6"/>
        <v>207.15817260273968</v>
      </c>
      <c r="AA23" s="18">
        <f t="shared" si="7"/>
        <v>326.274121849315</v>
      </c>
      <c r="AB23" s="18">
        <f t="shared" si="8"/>
        <v>116.52647208904106</v>
      </c>
      <c r="AC23" s="18">
        <f t="shared" si="9"/>
        <v>442.8005939383561</v>
      </c>
      <c r="AD23" s="18">
        <f t="shared" si="10"/>
        <v>517.8954315068493</v>
      </c>
      <c r="AE23" s="18">
        <f t="shared" si="11"/>
        <v>1167.854198047945</v>
      </c>
    </row>
    <row r="24" spans="1:31" ht="15">
      <c r="A24" s="32" t="str">
        <f>+modsalario2021!B20</f>
        <v>O</v>
      </c>
      <c r="B24" s="18">
        <f>+modsalario2021!Q20</f>
        <v>194.7476712328767</v>
      </c>
      <c r="C24" s="19">
        <v>31</v>
      </c>
      <c r="D24" s="18">
        <f t="shared" si="0"/>
        <v>558.78864</v>
      </c>
      <c r="E24" s="18">
        <v>0</v>
      </c>
      <c r="F24" s="18">
        <v>0</v>
      </c>
      <c r="G24" s="18">
        <f t="shared" si="12"/>
        <v>0</v>
      </c>
      <c r="H24" s="18">
        <f t="shared" si="13"/>
        <v>42.26024465753424</v>
      </c>
      <c r="I24" s="18">
        <f t="shared" si="14"/>
        <v>15.092944520547945</v>
      </c>
      <c r="J24" s="18">
        <f t="shared" si="15"/>
        <v>57.35318917808218</v>
      </c>
      <c r="K24" s="18">
        <f t="shared" si="16"/>
        <v>63.390366986301366</v>
      </c>
      <c r="L24" s="18">
        <f t="shared" si="17"/>
        <v>22.639416780821914</v>
      </c>
      <c r="M24" s="18">
        <f t="shared" si="18"/>
        <v>86.02978376712328</v>
      </c>
      <c r="N24" s="18">
        <f t="shared" si="19"/>
        <v>105.65061164383562</v>
      </c>
      <c r="O24" s="18">
        <f t="shared" si="20"/>
        <v>37.73236130136986</v>
      </c>
      <c r="P24" s="18">
        <f t="shared" si="21"/>
        <v>143.3829729452055</v>
      </c>
      <c r="Q24" s="18">
        <f t="shared" si="26"/>
        <v>32.81507997657533</v>
      </c>
      <c r="R24" s="18">
        <f t="shared" si="23"/>
        <v>60.37177808219178</v>
      </c>
      <c r="S24" s="18">
        <f t="shared" si="24"/>
        <v>938.741443949178</v>
      </c>
      <c r="T24" s="23">
        <f t="shared" si="3"/>
        <v>75.46472260273973</v>
      </c>
      <c r="U24" s="24">
        <f t="shared" si="1"/>
        <v>282.14068869863013</v>
      </c>
      <c r="V24" s="24">
        <f t="shared" si="25"/>
        <v>70.53517217465753</v>
      </c>
      <c r="W24" s="285" t="str">
        <f t="shared" si="4"/>
        <v>O</v>
      </c>
      <c r="X24" s="18">
        <f t="shared" si="5"/>
        <v>194.7476712328767</v>
      </c>
      <c r="Y24" s="17">
        <v>61</v>
      </c>
      <c r="Z24" s="18">
        <f t="shared" si="6"/>
        <v>237.5921589041096</v>
      </c>
      <c r="AA24" s="18">
        <f t="shared" si="7"/>
        <v>374.2076502739726</v>
      </c>
      <c r="AB24" s="18">
        <f t="shared" si="8"/>
        <v>133.64558938356166</v>
      </c>
      <c r="AC24" s="18">
        <f t="shared" si="9"/>
        <v>507.85323965753423</v>
      </c>
      <c r="AD24" s="18">
        <f t="shared" si="10"/>
        <v>593.980397260274</v>
      </c>
      <c r="AE24" s="18">
        <f t="shared" si="11"/>
        <v>1339.4257958219177</v>
      </c>
    </row>
    <row r="25" spans="1:31" ht="15">
      <c r="A25" s="32" t="str">
        <f>+modsalario2021!B21</f>
        <v>P </v>
      </c>
      <c r="B25" s="18">
        <f>+modsalario2021!Q21</f>
        <v>159.14301369863014</v>
      </c>
      <c r="C25" s="19">
        <v>31</v>
      </c>
      <c r="D25" s="18">
        <f t="shared" si="0"/>
        <v>558.78864</v>
      </c>
      <c r="E25" s="18"/>
      <c r="F25" s="18"/>
      <c r="G25" s="18"/>
      <c r="H25" s="18">
        <f aca="true" t="shared" si="27" ref="H25:H38">(B25*C25)*0.7%</f>
        <v>34.534033972602735</v>
      </c>
      <c r="I25" s="18">
        <f aca="true" t="shared" si="28" ref="I25:I38">(B25*C25)*0.25%</f>
        <v>12.333583561643836</v>
      </c>
      <c r="J25" s="18">
        <f aca="true" t="shared" si="29" ref="J25:J38">H25+I25</f>
        <v>46.86761753424657</v>
      </c>
      <c r="K25" s="18">
        <f aca="true" t="shared" si="30" ref="K25:K38">(B25*C25)*1.05%</f>
        <v>51.80105095890411</v>
      </c>
      <c r="L25" s="18">
        <f aca="true" t="shared" si="31" ref="L25:L38">(B25*C25)*0.375%</f>
        <v>18.500375342465755</v>
      </c>
      <c r="M25" s="18">
        <f aca="true" t="shared" si="32" ref="M25:M38">K25+L25</f>
        <v>70.30142630136987</v>
      </c>
      <c r="N25" s="18">
        <f aca="true" t="shared" si="33" ref="N25:N38">(B25*C25)*1.75%</f>
        <v>86.33508493150686</v>
      </c>
      <c r="O25" s="18">
        <f aca="true" t="shared" si="34" ref="O25:O38">(B25*C25)*0.625%</f>
        <v>30.833958904109593</v>
      </c>
      <c r="P25" s="18">
        <f aca="true" t="shared" si="35" ref="P25:P38">N25+O25</f>
        <v>117.16904383561645</v>
      </c>
      <c r="Q25" s="18">
        <f t="shared" si="26"/>
        <v>26.815677379726026</v>
      </c>
      <c r="R25" s="18">
        <f aca="true" t="shared" si="36" ref="R25:R38">(B25*C25)*1%</f>
        <v>49.334334246575345</v>
      </c>
      <c r="S25" s="18">
        <f aca="true" t="shared" si="37" ref="S25:S38">D25+G25+J25+M25+P25+Q25+R25</f>
        <v>869.2767392975344</v>
      </c>
      <c r="T25" s="23">
        <f t="shared" si="3"/>
        <v>61.66791780821919</v>
      </c>
      <c r="U25" s="24">
        <f t="shared" si="1"/>
        <v>230.55844109589043</v>
      </c>
      <c r="V25" s="24">
        <f aca="true" t="shared" si="38" ref="V25:V38">U25/4</f>
        <v>57.63961027397261</v>
      </c>
      <c r="W25" s="285" t="str">
        <f t="shared" si="4"/>
        <v>P </v>
      </c>
      <c r="X25" s="18">
        <f t="shared" si="5"/>
        <v>159.14301369863014</v>
      </c>
      <c r="Y25" s="17">
        <v>61</v>
      </c>
      <c r="Z25" s="18">
        <f aca="true" t="shared" si="39" ref="Z25:Z38">(X25*Y25)*2%</f>
        <v>194.15447671232877</v>
      </c>
      <c r="AA25" s="18">
        <f aca="true" t="shared" si="40" ref="AA25:AA38">(X25*Y25)*3.15%</f>
        <v>305.7933008219178</v>
      </c>
      <c r="AB25" s="18">
        <f aca="true" t="shared" si="41" ref="AB25:AB38">(X25*Y25)*1.125%</f>
        <v>109.21189315068493</v>
      </c>
      <c r="AC25" s="18">
        <f aca="true" t="shared" si="42" ref="AC25:AC38">AA25+AB25</f>
        <v>415.00519397260274</v>
      </c>
      <c r="AD25" s="18">
        <f aca="true" t="shared" si="43" ref="AD25:AD38">(X25*Y25)*5%</f>
        <v>485.38619178082195</v>
      </c>
      <c r="AE25" s="18">
        <f aca="true" t="shared" si="44" ref="AE25:AE38">Z25+AC25+AD25</f>
        <v>1094.5458624657535</v>
      </c>
    </row>
    <row r="26" spans="1:31" ht="15">
      <c r="A26" s="32" t="str">
        <f>+modsalario2021!B22</f>
        <v>Q</v>
      </c>
      <c r="B26" s="18">
        <f>+modsalario2021!Q22</f>
        <v>169.8017808219178</v>
      </c>
      <c r="C26" s="19">
        <v>31</v>
      </c>
      <c r="D26" s="18">
        <f t="shared" si="0"/>
        <v>558.78864</v>
      </c>
      <c r="E26" s="18"/>
      <c r="F26" s="18"/>
      <c r="G26" s="18"/>
      <c r="H26" s="18">
        <f t="shared" si="27"/>
        <v>36.84698643835616</v>
      </c>
      <c r="I26" s="18">
        <f t="shared" si="28"/>
        <v>13.159638013698629</v>
      </c>
      <c r="J26" s="18">
        <f t="shared" si="29"/>
        <v>50.006624452054794</v>
      </c>
      <c r="K26" s="18">
        <f t="shared" si="30"/>
        <v>55.270479657534246</v>
      </c>
      <c r="L26" s="18">
        <f t="shared" si="31"/>
        <v>19.739457020547942</v>
      </c>
      <c r="M26" s="18">
        <f t="shared" si="32"/>
        <v>75.00993667808218</v>
      </c>
      <c r="N26" s="18">
        <f t="shared" si="33"/>
        <v>92.11746609589042</v>
      </c>
      <c r="O26" s="18">
        <f t="shared" si="34"/>
        <v>32.89909503424658</v>
      </c>
      <c r="P26" s="18">
        <f t="shared" si="35"/>
        <v>125.016561130137</v>
      </c>
      <c r="Q26" s="18">
        <f t="shared" si="26"/>
        <v>28.611684969383557</v>
      </c>
      <c r="R26" s="18">
        <f t="shared" si="36"/>
        <v>52.638552054794516</v>
      </c>
      <c r="S26" s="18">
        <f t="shared" si="37"/>
        <v>890.0719992844521</v>
      </c>
      <c r="T26" s="23">
        <f t="shared" si="3"/>
        <v>65.79819006849314</v>
      </c>
      <c r="U26" s="24">
        <f t="shared" si="1"/>
        <v>246.0003299657534</v>
      </c>
      <c r="V26" s="24">
        <f t="shared" si="38"/>
        <v>61.50008249143835</v>
      </c>
      <c r="W26" s="285" t="str">
        <f t="shared" si="4"/>
        <v>Q</v>
      </c>
      <c r="X26" s="18">
        <f t="shared" si="5"/>
        <v>169.8017808219178</v>
      </c>
      <c r="Y26" s="17">
        <v>61</v>
      </c>
      <c r="Z26" s="18">
        <f t="shared" si="39"/>
        <v>207.15817260273968</v>
      </c>
      <c r="AA26" s="18">
        <f t="shared" si="40"/>
        <v>326.274121849315</v>
      </c>
      <c r="AB26" s="18">
        <f t="shared" si="41"/>
        <v>116.52647208904106</v>
      </c>
      <c r="AC26" s="18">
        <f t="shared" si="42"/>
        <v>442.8005939383561</v>
      </c>
      <c r="AD26" s="18">
        <f t="shared" si="43"/>
        <v>517.8954315068493</v>
      </c>
      <c r="AE26" s="18">
        <f t="shared" si="44"/>
        <v>1167.854198047945</v>
      </c>
    </row>
    <row r="27" spans="1:31" ht="15">
      <c r="A27" s="32" t="str">
        <f>+modsalario2021!B25</f>
        <v>T</v>
      </c>
      <c r="B27" s="18">
        <f>+modsalario2021!Q25</f>
        <v>159.14301369863014</v>
      </c>
      <c r="C27" s="19">
        <v>31</v>
      </c>
      <c r="D27" s="18">
        <f t="shared" si="0"/>
        <v>558.78864</v>
      </c>
      <c r="E27" s="18"/>
      <c r="F27" s="18"/>
      <c r="G27" s="18"/>
      <c r="H27" s="18">
        <f t="shared" si="27"/>
        <v>34.534033972602735</v>
      </c>
      <c r="I27" s="18">
        <f t="shared" si="28"/>
        <v>12.333583561643836</v>
      </c>
      <c r="J27" s="18">
        <f t="shared" si="29"/>
        <v>46.86761753424657</v>
      </c>
      <c r="K27" s="18">
        <f t="shared" si="30"/>
        <v>51.80105095890411</v>
      </c>
      <c r="L27" s="18">
        <f t="shared" si="31"/>
        <v>18.500375342465755</v>
      </c>
      <c r="M27" s="18">
        <f t="shared" si="32"/>
        <v>70.30142630136987</v>
      </c>
      <c r="N27" s="18">
        <f t="shared" si="33"/>
        <v>86.33508493150686</v>
      </c>
      <c r="O27" s="18">
        <f t="shared" si="34"/>
        <v>30.833958904109593</v>
      </c>
      <c r="P27" s="18">
        <f t="shared" si="35"/>
        <v>117.16904383561645</v>
      </c>
      <c r="Q27" s="18">
        <f t="shared" si="26"/>
        <v>26.815677379726026</v>
      </c>
      <c r="R27" s="18">
        <f t="shared" si="36"/>
        <v>49.334334246575345</v>
      </c>
      <c r="S27" s="18">
        <f t="shared" si="37"/>
        <v>869.2767392975344</v>
      </c>
      <c r="T27" s="23">
        <f t="shared" si="3"/>
        <v>61.66791780821919</v>
      </c>
      <c r="U27" s="24">
        <f t="shared" si="1"/>
        <v>230.55844109589043</v>
      </c>
      <c r="V27" s="24">
        <f t="shared" si="38"/>
        <v>57.63961027397261</v>
      </c>
      <c r="W27" s="285" t="str">
        <f t="shared" si="4"/>
        <v>T</v>
      </c>
      <c r="X27" s="18">
        <f t="shared" si="5"/>
        <v>159.14301369863014</v>
      </c>
      <c r="Y27" s="17">
        <v>61</v>
      </c>
      <c r="Z27" s="18">
        <f t="shared" si="39"/>
        <v>194.15447671232877</v>
      </c>
      <c r="AA27" s="18">
        <f t="shared" si="40"/>
        <v>305.7933008219178</v>
      </c>
      <c r="AB27" s="18">
        <f t="shared" si="41"/>
        <v>109.21189315068493</v>
      </c>
      <c r="AC27" s="18">
        <f t="shared" si="42"/>
        <v>415.00519397260274</v>
      </c>
      <c r="AD27" s="18">
        <f t="shared" si="43"/>
        <v>485.38619178082195</v>
      </c>
      <c r="AE27" s="18">
        <f t="shared" si="44"/>
        <v>1094.5458624657535</v>
      </c>
    </row>
    <row r="28" spans="1:31" s="159" customFormat="1" ht="15">
      <c r="A28" s="32" t="str">
        <f>+modsalario2021!B26</f>
        <v>U</v>
      </c>
      <c r="B28" s="18">
        <f>+modsalario2021!Q26</f>
        <v>194.50647945205478</v>
      </c>
      <c r="C28" s="151">
        <v>31</v>
      </c>
      <c r="D28" s="18">
        <f t="shared" si="0"/>
        <v>558.78864</v>
      </c>
      <c r="E28" s="18"/>
      <c r="F28" s="18"/>
      <c r="G28" s="18"/>
      <c r="H28" s="18">
        <f t="shared" si="27"/>
        <v>42.20790604109588</v>
      </c>
      <c r="I28" s="18">
        <f t="shared" si="28"/>
        <v>15.074252157534245</v>
      </c>
      <c r="J28" s="18">
        <f t="shared" si="29"/>
        <v>57.28215819863013</v>
      </c>
      <c r="K28" s="18">
        <f t="shared" si="30"/>
        <v>63.31185906164383</v>
      </c>
      <c r="L28" s="18">
        <f t="shared" si="31"/>
        <v>22.611378236301366</v>
      </c>
      <c r="M28" s="18">
        <f t="shared" si="32"/>
        <v>85.92323729794519</v>
      </c>
      <c r="N28" s="18">
        <f t="shared" si="33"/>
        <v>105.51976510273973</v>
      </c>
      <c r="O28" s="18">
        <f t="shared" si="34"/>
        <v>37.685630393835616</v>
      </c>
      <c r="P28" s="18">
        <f t="shared" si="35"/>
        <v>143.20539549657533</v>
      </c>
      <c r="Q28" s="18">
        <f aca="true" t="shared" si="45" ref="Q28:Q38">(B28*C28)*0.54355%</f>
        <v>32.77443904091095</v>
      </c>
      <c r="R28" s="18">
        <f t="shared" si="36"/>
        <v>60.29700863013698</v>
      </c>
      <c r="S28" s="18">
        <f t="shared" si="37"/>
        <v>938.2708786641984</v>
      </c>
      <c r="T28" s="167">
        <f aca="true" t="shared" si="46" ref="T28:T38">F28+L28+O28+I28</f>
        <v>75.37126078767123</v>
      </c>
      <c r="U28" s="24">
        <f t="shared" si="1"/>
        <v>281.79126210616437</v>
      </c>
      <c r="V28" s="24">
        <f t="shared" si="38"/>
        <v>70.44781552654109</v>
      </c>
      <c r="W28" s="285" t="str">
        <f aca="true" t="shared" si="47" ref="W28:W38">A28</f>
        <v>U</v>
      </c>
      <c r="X28" s="18">
        <f aca="true" t="shared" si="48" ref="X28:X38">B28</f>
        <v>194.50647945205478</v>
      </c>
      <c r="Y28" s="151">
        <v>61</v>
      </c>
      <c r="Z28" s="18">
        <f t="shared" si="39"/>
        <v>237.29790493150682</v>
      </c>
      <c r="AA28" s="18">
        <f t="shared" si="40"/>
        <v>373.74420026712323</v>
      </c>
      <c r="AB28" s="18">
        <f t="shared" si="41"/>
        <v>133.48007152397258</v>
      </c>
      <c r="AC28" s="18">
        <f t="shared" si="42"/>
        <v>507.2242717910958</v>
      </c>
      <c r="AD28" s="18">
        <f t="shared" si="43"/>
        <v>593.244762328767</v>
      </c>
      <c r="AE28" s="18">
        <f t="shared" si="44"/>
        <v>1337.7669390513697</v>
      </c>
    </row>
    <row r="29" spans="1:31" ht="15">
      <c r="A29" s="32" t="str">
        <f>+modsalario2021!B27</f>
        <v>W</v>
      </c>
      <c r="B29" s="18">
        <f>+modsalario2021!Q27</f>
        <v>159.14301369863014</v>
      </c>
      <c r="C29" s="151">
        <v>31</v>
      </c>
      <c r="D29" s="18">
        <f t="shared" si="0"/>
        <v>558.78864</v>
      </c>
      <c r="E29" s="18"/>
      <c r="F29" s="18"/>
      <c r="G29" s="18"/>
      <c r="H29" s="18">
        <f t="shared" si="27"/>
        <v>34.534033972602735</v>
      </c>
      <c r="I29" s="18">
        <f t="shared" si="28"/>
        <v>12.333583561643836</v>
      </c>
      <c r="J29" s="18">
        <f t="shared" si="29"/>
        <v>46.86761753424657</v>
      </c>
      <c r="K29" s="18">
        <f t="shared" si="30"/>
        <v>51.80105095890411</v>
      </c>
      <c r="L29" s="18">
        <f t="shared" si="31"/>
        <v>18.500375342465755</v>
      </c>
      <c r="M29" s="18">
        <f t="shared" si="32"/>
        <v>70.30142630136987</v>
      </c>
      <c r="N29" s="18">
        <f t="shared" si="33"/>
        <v>86.33508493150686</v>
      </c>
      <c r="O29" s="18">
        <f t="shared" si="34"/>
        <v>30.833958904109593</v>
      </c>
      <c r="P29" s="18">
        <f t="shared" si="35"/>
        <v>117.16904383561645</v>
      </c>
      <c r="Q29" s="18">
        <f t="shared" si="45"/>
        <v>26.815677379726026</v>
      </c>
      <c r="R29" s="18">
        <f t="shared" si="36"/>
        <v>49.334334246575345</v>
      </c>
      <c r="S29" s="18">
        <f t="shared" si="37"/>
        <v>869.2767392975344</v>
      </c>
      <c r="T29" s="167">
        <f t="shared" si="46"/>
        <v>61.66791780821919</v>
      </c>
      <c r="U29" s="24">
        <f t="shared" si="1"/>
        <v>230.55844109589043</v>
      </c>
      <c r="V29" s="24">
        <f t="shared" si="38"/>
        <v>57.63961027397261</v>
      </c>
      <c r="W29" s="285" t="str">
        <f t="shared" si="47"/>
        <v>W</v>
      </c>
      <c r="X29" s="18">
        <f t="shared" si="48"/>
        <v>159.14301369863014</v>
      </c>
      <c r="Y29" s="151">
        <v>61</v>
      </c>
      <c r="Z29" s="18">
        <f t="shared" si="39"/>
        <v>194.15447671232877</v>
      </c>
      <c r="AA29" s="18">
        <f t="shared" si="40"/>
        <v>305.7933008219178</v>
      </c>
      <c r="AB29" s="18">
        <f t="shared" si="41"/>
        <v>109.21189315068493</v>
      </c>
      <c r="AC29" s="18">
        <f t="shared" si="42"/>
        <v>415.00519397260274</v>
      </c>
      <c r="AD29" s="18">
        <f t="shared" si="43"/>
        <v>485.38619178082195</v>
      </c>
      <c r="AE29" s="18">
        <f t="shared" si="44"/>
        <v>1094.5458624657535</v>
      </c>
    </row>
    <row r="30" spans="1:31" ht="15" hidden="1">
      <c r="A30" s="32"/>
      <c r="B30" s="18">
        <v>158</v>
      </c>
      <c r="C30" s="19">
        <v>31</v>
      </c>
      <c r="D30" s="18">
        <f t="shared" si="0"/>
        <v>558.78864</v>
      </c>
      <c r="E30" s="18"/>
      <c r="F30" s="18"/>
      <c r="G30" s="18"/>
      <c r="H30" s="18">
        <f t="shared" si="27"/>
        <v>34.285999999999994</v>
      </c>
      <c r="I30" s="18">
        <f t="shared" si="28"/>
        <v>12.245000000000001</v>
      </c>
      <c r="J30" s="18">
        <f t="shared" si="29"/>
        <v>46.53099999999999</v>
      </c>
      <c r="K30" s="18">
        <f t="shared" si="30"/>
        <v>51.429</v>
      </c>
      <c r="L30" s="18">
        <f t="shared" si="31"/>
        <v>18.3675</v>
      </c>
      <c r="M30" s="18">
        <f t="shared" si="32"/>
        <v>69.79650000000001</v>
      </c>
      <c r="N30" s="18">
        <f t="shared" si="33"/>
        <v>85.715</v>
      </c>
      <c r="O30" s="18">
        <f t="shared" si="34"/>
        <v>30.6125</v>
      </c>
      <c r="P30" s="18">
        <f t="shared" si="35"/>
        <v>116.3275</v>
      </c>
      <c r="Q30" s="18">
        <f t="shared" si="45"/>
        <v>26.623078999999997</v>
      </c>
      <c r="R30" s="18">
        <f t="shared" si="36"/>
        <v>48.980000000000004</v>
      </c>
      <c r="S30" s="18">
        <f t="shared" si="37"/>
        <v>867.0467189999999</v>
      </c>
      <c r="T30" s="23">
        <f t="shared" si="46"/>
        <v>61.22500000000001</v>
      </c>
      <c r="U30" s="24">
        <f t="shared" si="1"/>
        <v>228.9025</v>
      </c>
      <c r="V30" s="24">
        <f t="shared" si="38"/>
        <v>57.225625</v>
      </c>
      <c r="W30" s="285">
        <f t="shared" si="47"/>
        <v>0</v>
      </c>
      <c r="X30" s="18">
        <f t="shared" si="48"/>
        <v>158</v>
      </c>
      <c r="Y30" s="17">
        <v>61</v>
      </c>
      <c r="Z30" s="18">
        <f t="shared" si="39"/>
        <v>192.76</v>
      </c>
      <c r="AA30" s="18">
        <f t="shared" si="40"/>
        <v>303.597</v>
      </c>
      <c r="AB30" s="18">
        <f t="shared" si="41"/>
        <v>108.4275</v>
      </c>
      <c r="AC30" s="18">
        <f t="shared" si="42"/>
        <v>412.0245</v>
      </c>
      <c r="AD30" s="18">
        <f t="shared" si="43"/>
        <v>481.90000000000003</v>
      </c>
      <c r="AE30" s="18">
        <f t="shared" si="44"/>
        <v>1086.6845</v>
      </c>
    </row>
    <row r="31" spans="1:31" s="159" customFormat="1" ht="15">
      <c r="A31" s="32" t="str">
        <f>+modsalario2021!B23</f>
        <v>R</v>
      </c>
      <c r="B31" s="18">
        <f>+modsalario2021!Q23</f>
        <v>169.59298630136985</v>
      </c>
      <c r="C31" s="151">
        <v>31</v>
      </c>
      <c r="D31" s="18">
        <f t="shared" si="0"/>
        <v>558.78864</v>
      </c>
      <c r="E31" s="18"/>
      <c r="F31" s="18"/>
      <c r="G31" s="18"/>
      <c r="H31" s="18">
        <f t="shared" si="27"/>
        <v>36.80167802739725</v>
      </c>
      <c r="I31" s="18">
        <f t="shared" si="28"/>
        <v>13.143456438356164</v>
      </c>
      <c r="J31" s="18">
        <f t="shared" si="29"/>
        <v>49.94513446575341</v>
      </c>
      <c r="K31" s="18">
        <f t="shared" si="30"/>
        <v>55.20251704109589</v>
      </c>
      <c r="L31" s="18">
        <f t="shared" si="31"/>
        <v>19.715184657534245</v>
      </c>
      <c r="M31" s="18">
        <f t="shared" si="32"/>
        <v>74.91770169863014</v>
      </c>
      <c r="N31" s="18">
        <f t="shared" si="33"/>
        <v>92.00419506849315</v>
      </c>
      <c r="O31" s="18">
        <f t="shared" si="34"/>
        <v>32.85864109589041</v>
      </c>
      <c r="P31" s="18">
        <f t="shared" si="35"/>
        <v>124.86283616438357</v>
      </c>
      <c r="Q31" s="18">
        <f t="shared" si="45"/>
        <v>28.576502988273965</v>
      </c>
      <c r="R31" s="18">
        <f t="shared" si="36"/>
        <v>52.57382575342466</v>
      </c>
      <c r="S31" s="18">
        <f t="shared" si="37"/>
        <v>889.6646410704658</v>
      </c>
      <c r="T31" s="167">
        <f t="shared" si="46"/>
        <v>65.71728219178082</v>
      </c>
      <c r="U31" s="24">
        <f t="shared" si="1"/>
        <v>245.69783890410957</v>
      </c>
      <c r="V31" s="24">
        <f t="shared" si="38"/>
        <v>61.42445972602739</v>
      </c>
      <c r="W31" s="285" t="str">
        <f t="shared" si="47"/>
        <v>R</v>
      </c>
      <c r="X31" s="18">
        <f t="shared" si="48"/>
        <v>169.59298630136985</v>
      </c>
      <c r="Y31" s="151">
        <v>61</v>
      </c>
      <c r="Z31" s="18">
        <f t="shared" si="39"/>
        <v>206.90344328767122</v>
      </c>
      <c r="AA31" s="18">
        <f t="shared" si="40"/>
        <v>325.87292317808215</v>
      </c>
      <c r="AB31" s="18">
        <f t="shared" si="41"/>
        <v>116.38318684931505</v>
      </c>
      <c r="AC31" s="18">
        <f t="shared" si="42"/>
        <v>442.2561100273972</v>
      </c>
      <c r="AD31" s="18">
        <f t="shared" si="43"/>
        <v>517.2586082191781</v>
      </c>
      <c r="AE31" s="18">
        <f t="shared" si="44"/>
        <v>1166.4181615342466</v>
      </c>
    </row>
    <row r="32" spans="1:31" s="159" customFormat="1" ht="15">
      <c r="A32" s="32" t="str">
        <f>+modsalario2021!B24</f>
        <v>S</v>
      </c>
      <c r="B32" s="18">
        <f>+modsalario2021!Q24</f>
        <v>169.59298630136985</v>
      </c>
      <c r="C32" s="151">
        <v>31</v>
      </c>
      <c r="D32" s="18">
        <f t="shared" si="0"/>
        <v>558.78864</v>
      </c>
      <c r="E32" s="18"/>
      <c r="F32" s="18"/>
      <c r="G32" s="18"/>
      <c r="H32" s="18">
        <f t="shared" si="27"/>
        <v>36.80167802739725</v>
      </c>
      <c r="I32" s="18">
        <f t="shared" si="28"/>
        <v>13.143456438356164</v>
      </c>
      <c r="J32" s="18">
        <f t="shared" si="29"/>
        <v>49.94513446575341</v>
      </c>
      <c r="K32" s="18">
        <f t="shared" si="30"/>
        <v>55.20251704109589</v>
      </c>
      <c r="L32" s="18">
        <f t="shared" si="31"/>
        <v>19.715184657534245</v>
      </c>
      <c r="M32" s="18">
        <f t="shared" si="32"/>
        <v>74.91770169863014</v>
      </c>
      <c r="N32" s="18">
        <f t="shared" si="33"/>
        <v>92.00419506849315</v>
      </c>
      <c r="O32" s="18">
        <f t="shared" si="34"/>
        <v>32.85864109589041</v>
      </c>
      <c r="P32" s="18">
        <f t="shared" si="35"/>
        <v>124.86283616438357</v>
      </c>
      <c r="Q32" s="18">
        <f t="shared" si="45"/>
        <v>28.576502988273965</v>
      </c>
      <c r="R32" s="18">
        <f t="shared" si="36"/>
        <v>52.57382575342466</v>
      </c>
      <c r="S32" s="18">
        <f t="shared" si="37"/>
        <v>889.6646410704658</v>
      </c>
      <c r="T32" s="167">
        <f t="shared" si="46"/>
        <v>65.71728219178082</v>
      </c>
      <c r="U32" s="24">
        <f t="shared" si="1"/>
        <v>245.69783890410957</v>
      </c>
      <c r="V32" s="24">
        <f t="shared" si="38"/>
        <v>61.42445972602739</v>
      </c>
      <c r="W32" s="285" t="str">
        <f t="shared" si="47"/>
        <v>S</v>
      </c>
      <c r="X32" s="18">
        <f t="shared" si="48"/>
        <v>169.59298630136985</v>
      </c>
      <c r="Y32" s="151">
        <v>61</v>
      </c>
      <c r="Z32" s="18">
        <f t="shared" si="39"/>
        <v>206.90344328767122</v>
      </c>
      <c r="AA32" s="18">
        <f t="shared" si="40"/>
        <v>325.87292317808215</v>
      </c>
      <c r="AB32" s="18">
        <f t="shared" si="41"/>
        <v>116.38318684931505</v>
      </c>
      <c r="AC32" s="18">
        <f t="shared" si="42"/>
        <v>442.2561100273972</v>
      </c>
      <c r="AD32" s="18">
        <f t="shared" si="43"/>
        <v>517.2586082191781</v>
      </c>
      <c r="AE32" s="18">
        <f t="shared" si="44"/>
        <v>1166.4181615342466</v>
      </c>
    </row>
    <row r="33" spans="1:31" s="159" customFormat="1" ht="15">
      <c r="A33" s="32" t="str">
        <f>+modsalario2021!B28</f>
        <v>X</v>
      </c>
      <c r="B33" s="18">
        <f>+modsalario2021!Q28</f>
        <v>159.14301369863014</v>
      </c>
      <c r="C33" s="151">
        <v>31</v>
      </c>
      <c r="D33" s="18">
        <f t="shared" si="0"/>
        <v>558.78864</v>
      </c>
      <c r="E33" s="18"/>
      <c r="F33" s="18"/>
      <c r="G33" s="18"/>
      <c r="H33" s="18">
        <f t="shared" si="27"/>
        <v>34.534033972602735</v>
      </c>
      <c r="I33" s="18">
        <f t="shared" si="28"/>
        <v>12.333583561643836</v>
      </c>
      <c r="J33" s="18">
        <f t="shared" si="29"/>
        <v>46.86761753424657</v>
      </c>
      <c r="K33" s="18">
        <f t="shared" si="30"/>
        <v>51.80105095890411</v>
      </c>
      <c r="L33" s="18">
        <f t="shared" si="31"/>
        <v>18.500375342465755</v>
      </c>
      <c r="M33" s="18">
        <f t="shared" si="32"/>
        <v>70.30142630136987</v>
      </c>
      <c r="N33" s="18">
        <f t="shared" si="33"/>
        <v>86.33508493150686</v>
      </c>
      <c r="O33" s="18">
        <f t="shared" si="34"/>
        <v>30.833958904109593</v>
      </c>
      <c r="P33" s="18">
        <f t="shared" si="35"/>
        <v>117.16904383561645</v>
      </c>
      <c r="Q33" s="18">
        <f>(B33*C33)*0.54355%</f>
        <v>26.815677379726026</v>
      </c>
      <c r="R33" s="18">
        <f t="shared" si="36"/>
        <v>49.334334246575345</v>
      </c>
      <c r="S33" s="18">
        <f t="shared" si="37"/>
        <v>869.2767392975344</v>
      </c>
      <c r="T33" s="167">
        <f t="shared" si="46"/>
        <v>61.66791780821919</v>
      </c>
      <c r="U33" s="24">
        <f t="shared" si="1"/>
        <v>230.55844109589043</v>
      </c>
      <c r="V33" s="24">
        <f t="shared" si="38"/>
        <v>57.63961027397261</v>
      </c>
      <c r="W33" s="285" t="str">
        <f t="shared" si="47"/>
        <v>X</v>
      </c>
      <c r="X33" s="18">
        <f t="shared" si="48"/>
        <v>159.14301369863014</v>
      </c>
      <c r="Y33" s="151">
        <v>61</v>
      </c>
      <c r="Z33" s="18">
        <f t="shared" si="39"/>
        <v>194.15447671232877</v>
      </c>
      <c r="AA33" s="18">
        <f t="shared" si="40"/>
        <v>305.7933008219178</v>
      </c>
      <c r="AB33" s="18">
        <f t="shared" si="41"/>
        <v>109.21189315068493</v>
      </c>
      <c r="AC33" s="18">
        <f t="shared" si="42"/>
        <v>415.00519397260274</v>
      </c>
      <c r="AD33" s="18">
        <f t="shared" si="43"/>
        <v>485.38619178082195</v>
      </c>
      <c r="AE33" s="18">
        <f t="shared" si="44"/>
        <v>1094.5458624657535</v>
      </c>
    </row>
    <row r="34" spans="1:31" s="159" customFormat="1" ht="15">
      <c r="A34" s="32" t="str">
        <f>+modsalario2021!B29</f>
        <v>Y</v>
      </c>
      <c r="B34" s="18">
        <f>+modsalario2021!Q29</f>
        <v>159.14301369863014</v>
      </c>
      <c r="C34" s="151">
        <v>31</v>
      </c>
      <c r="D34" s="18">
        <f t="shared" si="0"/>
        <v>558.78864</v>
      </c>
      <c r="E34" s="18"/>
      <c r="F34" s="18"/>
      <c r="G34" s="18"/>
      <c r="H34" s="18">
        <f t="shared" si="27"/>
        <v>34.534033972602735</v>
      </c>
      <c r="I34" s="18">
        <f t="shared" si="28"/>
        <v>12.333583561643836</v>
      </c>
      <c r="J34" s="18">
        <f t="shared" si="29"/>
        <v>46.86761753424657</v>
      </c>
      <c r="K34" s="18">
        <f t="shared" si="30"/>
        <v>51.80105095890411</v>
      </c>
      <c r="L34" s="18">
        <f t="shared" si="31"/>
        <v>18.500375342465755</v>
      </c>
      <c r="M34" s="18">
        <f t="shared" si="32"/>
        <v>70.30142630136987</v>
      </c>
      <c r="N34" s="18">
        <f t="shared" si="33"/>
        <v>86.33508493150686</v>
      </c>
      <c r="O34" s="18">
        <f t="shared" si="34"/>
        <v>30.833958904109593</v>
      </c>
      <c r="P34" s="18">
        <f t="shared" si="35"/>
        <v>117.16904383561645</v>
      </c>
      <c r="Q34" s="18">
        <f>(B34*C34)*0.54355%</f>
        <v>26.815677379726026</v>
      </c>
      <c r="R34" s="18">
        <f t="shared" si="36"/>
        <v>49.334334246575345</v>
      </c>
      <c r="S34" s="18">
        <f t="shared" si="37"/>
        <v>869.2767392975344</v>
      </c>
      <c r="T34" s="167">
        <f t="shared" si="46"/>
        <v>61.66791780821919</v>
      </c>
      <c r="U34" s="24">
        <f t="shared" si="1"/>
        <v>230.55844109589043</v>
      </c>
      <c r="V34" s="24">
        <f t="shared" si="38"/>
        <v>57.63961027397261</v>
      </c>
      <c r="W34" s="285" t="str">
        <f t="shared" si="47"/>
        <v>Y</v>
      </c>
      <c r="X34" s="18">
        <f t="shared" si="48"/>
        <v>159.14301369863014</v>
      </c>
      <c r="Y34" s="151">
        <v>61</v>
      </c>
      <c r="Z34" s="18">
        <f t="shared" si="39"/>
        <v>194.15447671232877</v>
      </c>
      <c r="AA34" s="18">
        <f t="shared" si="40"/>
        <v>305.7933008219178</v>
      </c>
      <c r="AB34" s="18">
        <f t="shared" si="41"/>
        <v>109.21189315068493</v>
      </c>
      <c r="AC34" s="18">
        <f t="shared" si="42"/>
        <v>415.00519397260274</v>
      </c>
      <c r="AD34" s="18">
        <f t="shared" si="43"/>
        <v>485.38619178082195</v>
      </c>
      <c r="AE34" s="18">
        <f t="shared" si="44"/>
        <v>1094.5458624657535</v>
      </c>
    </row>
    <row r="35" spans="1:31" s="159" customFormat="1" ht="15">
      <c r="A35" s="32" t="str">
        <f>+modsalario2021!B30</f>
        <v>Z</v>
      </c>
      <c r="B35" s="18">
        <f>+modsalario2021!Q30</f>
        <v>159.14301369863014</v>
      </c>
      <c r="C35" s="151">
        <v>31</v>
      </c>
      <c r="D35" s="18">
        <f t="shared" si="0"/>
        <v>558.78864</v>
      </c>
      <c r="E35" s="18"/>
      <c r="F35" s="18"/>
      <c r="G35" s="18"/>
      <c r="H35" s="18">
        <f t="shared" si="27"/>
        <v>34.534033972602735</v>
      </c>
      <c r="I35" s="18">
        <f t="shared" si="28"/>
        <v>12.333583561643836</v>
      </c>
      <c r="J35" s="18">
        <f t="shared" si="29"/>
        <v>46.86761753424657</v>
      </c>
      <c r="K35" s="18">
        <f t="shared" si="30"/>
        <v>51.80105095890411</v>
      </c>
      <c r="L35" s="18">
        <f t="shared" si="31"/>
        <v>18.500375342465755</v>
      </c>
      <c r="M35" s="18">
        <f t="shared" si="32"/>
        <v>70.30142630136987</v>
      </c>
      <c r="N35" s="18">
        <f t="shared" si="33"/>
        <v>86.33508493150686</v>
      </c>
      <c r="O35" s="18">
        <f t="shared" si="34"/>
        <v>30.833958904109593</v>
      </c>
      <c r="P35" s="18">
        <f t="shared" si="35"/>
        <v>117.16904383561645</v>
      </c>
      <c r="Q35" s="18">
        <f>(B35*C35)*0.54355%</f>
        <v>26.815677379726026</v>
      </c>
      <c r="R35" s="18">
        <f t="shared" si="36"/>
        <v>49.334334246575345</v>
      </c>
      <c r="S35" s="18">
        <f t="shared" si="37"/>
        <v>869.2767392975344</v>
      </c>
      <c r="T35" s="167">
        <f t="shared" si="46"/>
        <v>61.66791780821919</v>
      </c>
      <c r="U35" s="24">
        <f t="shared" si="1"/>
        <v>230.55844109589043</v>
      </c>
      <c r="V35" s="24">
        <f t="shared" si="38"/>
        <v>57.63961027397261</v>
      </c>
      <c r="W35" s="285" t="str">
        <f t="shared" si="47"/>
        <v>Z</v>
      </c>
      <c r="X35" s="18">
        <f t="shared" si="48"/>
        <v>159.14301369863014</v>
      </c>
      <c r="Y35" s="151">
        <v>61</v>
      </c>
      <c r="Z35" s="18">
        <f t="shared" si="39"/>
        <v>194.15447671232877</v>
      </c>
      <c r="AA35" s="18">
        <f t="shared" si="40"/>
        <v>305.7933008219178</v>
      </c>
      <c r="AB35" s="18">
        <f t="shared" si="41"/>
        <v>109.21189315068493</v>
      </c>
      <c r="AC35" s="18">
        <f t="shared" si="42"/>
        <v>415.00519397260274</v>
      </c>
      <c r="AD35" s="18">
        <f t="shared" si="43"/>
        <v>485.38619178082195</v>
      </c>
      <c r="AE35" s="18">
        <f t="shared" si="44"/>
        <v>1094.5458624657535</v>
      </c>
    </row>
    <row r="36" spans="1:31" s="159" customFormat="1" ht="15">
      <c r="A36" s="32" t="str">
        <f>+modsalario2021!B32</f>
        <v>AB</v>
      </c>
      <c r="B36" s="18">
        <f>+modsalario2021!Q32</f>
        <v>159.14301369863014</v>
      </c>
      <c r="C36" s="151">
        <v>31</v>
      </c>
      <c r="D36" s="18">
        <f t="shared" si="0"/>
        <v>558.78864</v>
      </c>
      <c r="E36" s="18"/>
      <c r="F36" s="18"/>
      <c r="G36" s="18"/>
      <c r="H36" s="18">
        <f t="shared" si="27"/>
        <v>34.534033972602735</v>
      </c>
      <c r="I36" s="18">
        <f t="shared" si="28"/>
        <v>12.333583561643836</v>
      </c>
      <c r="J36" s="18">
        <f t="shared" si="29"/>
        <v>46.86761753424657</v>
      </c>
      <c r="K36" s="18">
        <f t="shared" si="30"/>
        <v>51.80105095890411</v>
      </c>
      <c r="L36" s="18">
        <f t="shared" si="31"/>
        <v>18.500375342465755</v>
      </c>
      <c r="M36" s="18">
        <f t="shared" si="32"/>
        <v>70.30142630136987</v>
      </c>
      <c r="N36" s="18">
        <f t="shared" si="33"/>
        <v>86.33508493150686</v>
      </c>
      <c r="O36" s="18">
        <f t="shared" si="34"/>
        <v>30.833958904109593</v>
      </c>
      <c r="P36" s="18">
        <f t="shared" si="35"/>
        <v>117.16904383561645</v>
      </c>
      <c r="Q36" s="18">
        <f>(B36*C36)*0.54355%</f>
        <v>26.815677379726026</v>
      </c>
      <c r="R36" s="18">
        <f t="shared" si="36"/>
        <v>49.334334246575345</v>
      </c>
      <c r="S36" s="18">
        <f t="shared" si="37"/>
        <v>869.2767392975344</v>
      </c>
      <c r="T36" s="255">
        <f t="shared" si="46"/>
        <v>61.66791780821919</v>
      </c>
      <c r="U36" s="24">
        <f t="shared" si="1"/>
        <v>230.55844109589043</v>
      </c>
      <c r="V36" s="24">
        <f t="shared" si="38"/>
        <v>57.63961027397261</v>
      </c>
      <c r="W36" s="285" t="str">
        <f>A36</f>
        <v>AB</v>
      </c>
      <c r="X36" s="18">
        <f>B36</f>
        <v>159.14301369863014</v>
      </c>
      <c r="Y36" s="151">
        <v>61</v>
      </c>
      <c r="Z36" s="18">
        <f t="shared" si="39"/>
        <v>194.15447671232877</v>
      </c>
      <c r="AA36" s="18">
        <f t="shared" si="40"/>
        <v>305.7933008219178</v>
      </c>
      <c r="AB36" s="18">
        <f t="shared" si="41"/>
        <v>109.21189315068493</v>
      </c>
      <c r="AC36" s="18">
        <f t="shared" si="42"/>
        <v>415.00519397260274</v>
      </c>
      <c r="AD36" s="18">
        <f t="shared" si="43"/>
        <v>485.38619178082195</v>
      </c>
      <c r="AE36" s="18">
        <f t="shared" si="44"/>
        <v>1094.5458624657535</v>
      </c>
    </row>
    <row r="37" spans="1:31" s="159" customFormat="1" ht="15">
      <c r="A37" s="32" t="str">
        <f>+modsalario2021!B34</f>
        <v>AD</v>
      </c>
      <c r="B37" s="18">
        <f>+modsalario2021!Q34</f>
        <v>159.14301369863014</v>
      </c>
      <c r="C37" s="151">
        <v>31</v>
      </c>
      <c r="D37" s="18">
        <f t="shared" si="0"/>
        <v>558.78864</v>
      </c>
      <c r="E37" s="18"/>
      <c r="F37" s="18"/>
      <c r="G37" s="18"/>
      <c r="H37" s="18">
        <f t="shared" si="27"/>
        <v>34.534033972602735</v>
      </c>
      <c r="I37" s="18">
        <f t="shared" si="28"/>
        <v>12.333583561643836</v>
      </c>
      <c r="J37" s="18">
        <f t="shared" si="29"/>
        <v>46.86761753424657</v>
      </c>
      <c r="K37" s="18">
        <f t="shared" si="30"/>
        <v>51.80105095890411</v>
      </c>
      <c r="L37" s="18">
        <f t="shared" si="31"/>
        <v>18.500375342465755</v>
      </c>
      <c r="M37" s="18">
        <f t="shared" si="32"/>
        <v>70.30142630136987</v>
      </c>
      <c r="N37" s="18">
        <f t="shared" si="33"/>
        <v>86.33508493150686</v>
      </c>
      <c r="O37" s="18">
        <f t="shared" si="34"/>
        <v>30.833958904109593</v>
      </c>
      <c r="P37" s="18">
        <f t="shared" si="35"/>
        <v>117.16904383561645</v>
      </c>
      <c r="Q37" s="18">
        <f>(B37*C37)*0.54355%</f>
        <v>26.815677379726026</v>
      </c>
      <c r="R37" s="18">
        <f t="shared" si="36"/>
        <v>49.334334246575345</v>
      </c>
      <c r="S37" s="18">
        <f t="shared" si="37"/>
        <v>869.2767392975344</v>
      </c>
      <c r="T37" s="255">
        <f t="shared" si="46"/>
        <v>61.66791780821919</v>
      </c>
      <c r="U37" s="24">
        <f t="shared" si="1"/>
        <v>230.55844109589043</v>
      </c>
      <c r="V37" s="24">
        <f t="shared" si="38"/>
        <v>57.63961027397261</v>
      </c>
      <c r="W37" s="285" t="str">
        <f>A37</f>
        <v>AD</v>
      </c>
      <c r="X37" s="18">
        <f>B37</f>
        <v>159.14301369863014</v>
      </c>
      <c r="Y37" s="151">
        <v>61</v>
      </c>
      <c r="Z37" s="18">
        <f t="shared" si="39"/>
        <v>194.15447671232877</v>
      </c>
      <c r="AA37" s="18">
        <f t="shared" si="40"/>
        <v>305.7933008219178</v>
      </c>
      <c r="AB37" s="18">
        <f t="shared" si="41"/>
        <v>109.21189315068493</v>
      </c>
      <c r="AC37" s="18">
        <f t="shared" si="42"/>
        <v>415.00519397260274</v>
      </c>
      <c r="AD37" s="18">
        <f t="shared" si="43"/>
        <v>485.38619178082195</v>
      </c>
      <c r="AE37" s="18">
        <f t="shared" si="44"/>
        <v>1094.5458624657535</v>
      </c>
    </row>
    <row r="38" spans="1:31" s="159" customFormat="1" ht="15">
      <c r="A38" s="32" t="str">
        <f>+modsalario2021!B35</f>
        <v>AC</v>
      </c>
      <c r="B38" s="18">
        <f>+modsalario2021!Q35</f>
        <v>159.14301369863014</v>
      </c>
      <c r="C38" s="151">
        <v>31</v>
      </c>
      <c r="D38" s="18">
        <f t="shared" si="0"/>
        <v>558.78864</v>
      </c>
      <c r="E38" s="18"/>
      <c r="F38" s="18"/>
      <c r="G38" s="18"/>
      <c r="H38" s="18">
        <f t="shared" si="27"/>
        <v>34.534033972602735</v>
      </c>
      <c r="I38" s="18">
        <f t="shared" si="28"/>
        <v>12.333583561643836</v>
      </c>
      <c r="J38" s="18">
        <f t="shared" si="29"/>
        <v>46.86761753424657</v>
      </c>
      <c r="K38" s="18">
        <f t="shared" si="30"/>
        <v>51.80105095890411</v>
      </c>
      <c r="L38" s="18">
        <f t="shared" si="31"/>
        <v>18.500375342465755</v>
      </c>
      <c r="M38" s="18">
        <f t="shared" si="32"/>
        <v>70.30142630136987</v>
      </c>
      <c r="N38" s="18">
        <f t="shared" si="33"/>
        <v>86.33508493150686</v>
      </c>
      <c r="O38" s="18">
        <f t="shared" si="34"/>
        <v>30.833958904109593</v>
      </c>
      <c r="P38" s="18">
        <f t="shared" si="35"/>
        <v>117.16904383561645</v>
      </c>
      <c r="Q38" s="18">
        <f t="shared" si="45"/>
        <v>26.815677379726026</v>
      </c>
      <c r="R38" s="18">
        <f t="shared" si="36"/>
        <v>49.334334246575345</v>
      </c>
      <c r="S38" s="18">
        <f t="shared" si="37"/>
        <v>869.2767392975344</v>
      </c>
      <c r="T38" s="255">
        <f t="shared" si="46"/>
        <v>61.66791780821919</v>
      </c>
      <c r="U38" s="24">
        <f t="shared" si="1"/>
        <v>230.55844109589043</v>
      </c>
      <c r="V38" s="24">
        <f t="shared" si="38"/>
        <v>57.63961027397261</v>
      </c>
      <c r="W38" s="285" t="str">
        <f t="shared" si="47"/>
        <v>AC</v>
      </c>
      <c r="X38" s="18">
        <f t="shared" si="48"/>
        <v>159.14301369863014</v>
      </c>
      <c r="Y38" s="151">
        <v>61</v>
      </c>
      <c r="Z38" s="18">
        <f t="shared" si="39"/>
        <v>194.15447671232877</v>
      </c>
      <c r="AA38" s="18">
        <f t="shared" si="40"/>
        <v>305.7933008219178</v>
      </c>
      <c r="AB38" s="18">
        <f t="shared" si="41"/>
        <v>109.21189315068493</v>
      </c>
      <c r="AC38" s="18">
        <f t="shared" si="42"/>
        <v>415.00519397260274</v>
      </c>
      <c r="AD38" s="18">
        <f t="shared" si="43"/>
        <v>485.38619178082195</v>
      </c>
      <c r="AE38" s="18">
        <f t="shared" si="44"/>
        <v>1094.5458624657535</v>
      </c>
    </row>
    <row r="39" spans="1:31" ht="15">
      <c r="A39" s="20"/>
      <c r="B39" s="21"/>
      <c r="C39" s="22"/>
      <c r="D39" s="18">
        <f aca="true" t="shared" si="49" ref="D39:S39">SUM(D7:D38)</f>
        <v>17881.236480000003</v>
      </c>
      <c r="E39" s="18">
        <f t="shared" si="49"/>
        <v>15.811847840814613</v>
      </c>
      <c r="F39" s="18">
        <f t="shared" si="49"/>
        <v>5.749762851205314</v>
      </c>
      <c r="G39" s="18">
        <f t="shared" si="49"/>
        <v>21.561610692019926</v>
      </c>
      <c r="H39" s="18">
        <f t="shared" si="49"/>
        <v>1242.260718299573</v>
      </c>
      <c r="I39" s="18">
        <f t="shared" si="49"/>
        <v>443.6645422498477</v>
      </c>
      <c r="J39" s="18">
        <f t="shared" si="49"/>
        <v>1685.9252605494219</v>
      </c>
      <c r="K39" s="18">
        <f t="shared" si="49"/>
        <v>1863.3910774493615</v>
      </c>
      <c r="L39" s="18">
        <f t="shared" si="49"/>
        <v>665.4968133747717</v>
      </c>
      <c r="M39" s="18">
        <f t="shared" si="49"/>
        <v>2528.8878908241313</v>
      </c>
      <c r="N39" s="18">
        <f t="shared" si="49"/>
        <v>3105.6517957489364</v>
      </c>
      <c r="O39" s="18">
        <f t="shared" si="49"/>
        <v>1109.1613556246195</v>
      </c>
      <c r="P39" s="18">
        <f t="shared" si="49"/>
        <v>4214.813151373554</v>
      </c>
      <c r="Q39" s="18">
        <f t="shared" si="49"/>
        <v>2701.4441848112024</v>
      </c>
      <c r="R39" s="18">
        <f t="shared" si="49"/>
        <v>1774.658168999391</v>
      </c>
      <c r="S39" s="18">
        <f t="shared" si="49"/>
        <v>30808.52674724972</v>
      </c>
      <c r="T39" s="255"/>
      <c r="V39" s="23">
        <f>SUM(V7:V30)</f>
        <v>1607.6044473763804</v>
      </c>
      <c r="W39" s="147"/>
      <c r="X39" s="17"/>
      <c r="Y39" s="17"/>
      <c r="Z39" s="18">
        <f aca="true" t="shared" si="50" ref="Z39:AE39">SUM(Z7:Z38)</f>
        <v>6984.13860057825</v>
      </c>
      <c r="AA39" s="18">
        <f t="shared" si="50"/>
        <v>11000.018295910735</v>
      </c>
      <c r="AB39" s="18">
        <f t="shared" si="50"/>
        <v>3928.577962825263</v>
      </c>
      <c r="AC39" s="18">
        <f t="shared" si="50"/>
        <v>14928.596258736015</v>
      </c>
      <c r="AD39" s="18">
        <f t="shared" si="50"/>
        <v>17460.346501445623</v>
      </c>
      <c r="AE39" s="18">
        <f t="shared" si="50"/>
        <v>39373.08136075989</v>
      </c>
    </row>
    <row r="40" spans="6:29" ht="15">
      <c r="F40" s="23">
        <f>F39+I39+L39+O39</f>
        <v>2224.072474100444</v>
      </c>
      <c r="G40" s="23">
        <f>D39+E39+H39+K39+N39+Q39+R39</f>
        <v>28584.454273149287</v>
      </c>
      <c r="H40" s="23">
        <f>F40+G40</f>
        <v>30808.526747249733</v>
      </c>
      <c r="AA40" s="23">
        <f>AB39</f>
        <v>3928.577962825263</v>
      </c>
      <c r="AB40" s="23">
        <f>Z39+AA39+AD39</f>
        <v>35444.503397934604</v>
      </c>
      <c r="AC40" s="23">
        <f>AA40+AB40</f>
        <v>39373.08136075987</v>
      </c>
    </row>
    <row r="41" spans="27:29" ht="15">
      <c r="AA41" s="23"/>
      <c r="AB41" s="23"/>
      <c r="AC41" s="23"/>
    </row>
    <row r="42" ht="15">
      <c r="A42" t="s">
        <v>289</v>
      </c>
    </row>
    <row r="43" ht="15.75" thickBot="1"/>
    <row r="44" spans="1:20" ht="15.75" thickBot="1">
      <c r="A44" s="312" t="s">
        <v>3</v>
      </c>
      <c r="B44" s="1"/>
      <c r="C44" s="2"/>
      <c r="D44" s="320" t="s">
        <v>4</v>
      </c>
      <c r="E44" s="321"/>
      <c r="F44" s="321"/>
      <c r="G44" s="321"/>
      <c r="H44" s="321"/>
      <c r="I44" s="321"/>
      <c r="J44" s="321"/>
      <c r="K44" s="321"/>
      <c r="L44" s="321"/>
      <c r="M44" s="322"/>
      <c r="N44" s="323" t="s">
        <v>5</v>
      </c>
      <c r="O44" s="323"/>
      <c r="P44" s="324"/>
      <c r="Q44" s="315" t="s">
        <v>6</v>
      </c>
      <c r="R44" s="310" t="s">
        <v>7</v>
      </c>
      <c r="S44" s="298" t="s">
        <v>8</v>
      </c>
      <c r="T44" s="3"/>
    </row>
    <row r="45" spans="1:20" ht="15">
      <c r="A45" s="313"/>
      <c r="B45" s="5"/>
      <c r="C45" s="5"/>
      <c r="D45" s="6"/>
      <c r="E45" s="304" t="s">
        <v>13</v>
      </c>
      <c r="F45" s="305"/>
      <c r="G45" s="306"/>
      <c r="H45" s="307" t="s">
        <v>14</v>
      </c>
      <c r="I45" s="308"/>
      <c r="J45" s="309"/>
      <c r="K45" s="317" t="s">
        <v>15</v>
      </c>
      <c r="L45" s="318"/>
      <c r="M45" s="319"/>
      <c r="N45" s="325"/>
      <c r="O45" s="326"/>
      <c r="P45" s="327"/>
      <c r="Q45" s="316"/>
      <c r="R45" s="311"/>
      <c r="S45" s="299"/>
      <c r="T45" s="7"/>
    </row>
    <row r="46" spans="1:20" ht="15.75" thickBot="1">
      <c r="A46" s="314"/>
      <c r="B46" s="9" t="s">
        <v>16</v>
      </c>
      <c r="C46" s="10" t="s">
        <v>18</v>
      </c>
      <c r="D46" s="11" t="s">
        <v>19</v>
      </c>
      <c r="E46" s="12" t="s">
        <v>20</v>
      </c>
      <c r="F46" s="12" t="s">
        <v>21</v>
      </c>
      <c r="G46" s="11" t="s">
        <v>11</v>
      </c>
      <c r="H46" s="12" t="s">
        <v>22</v>
      </c>
      <c r="I46" s="12" t="s">
        <v>23</v>
      </c>
      <c r="J46" s="11" t="s">
        <v>11</v>
      </c>
      <c r="K46" s="12" t="s">
        <v>24</v>
      </c>
      <c r="L46" s="12" t="s">
        <v>25</v>
      </c>
      <c r="M46" s="11" t="s">
        <v>11</v>
      </c>
      <c r="N46" s="12" t="s">
        <v>26</v>
      </c>
      <c r="O46" s="12" t="s">
        <v>27</v>
      </c>
      <c r="P46" s="11" t="s">
        <v>11</v>
      </c>
      <c r="Q46" s="11"/>
      <c r="R46" s="11"/>
      <c r="S46" s="12"/>
      <c r="T46" s="13"/>
    </row>
    <row r="47" spans="1:20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5">
      <c r="A48" s="285" t="str">
        <f aca="true" t="shared" si="51" ref="A48:B79">A7</f>
        <v>A</v>
      </c>
      <c r="B48" s="18">
        <f t="shared" si="51"/>
        <v>195.7121636328805</v>
      </c>
      <c r="C48" s="19">
        <v>30</v>
      </c>
      <c r="D48" s="18">
        <f aca="true" t="shared" si="52" ref="D48:D79">(88.36*31)*20.4%</f>
        <v>558.78864</v>
      </c>
      <c r="E48" s="18">
        <v>0</v>
      </c>
      <c r="F48" s="18">
        <v>0</v>
      </c>
      <c r="G48" s="18">
        <f>E48+F48</f>
        <v>0</v>
      </c>
      <c r="H48" s="18">
        <f aca="true" t="shared" si="53" ref="H48:H65">(B48*C48)*0.7%</f>
        <v>41.0995543629049</v>
      </c>
      <c r="I48" s="18">
        <f aca="true" t="shared" si="54" ref="I48:I65">(B48*C48)*0.25%</f>
        <v>14.678412272466037</v>
      </c>
      <c r="J48" s="18">
        <f aca="true" t="shared" si="55" ref="J48:J65">H48+I48</f>
        <v>55.77796663537093</v>
      </c>
      <c r="K48" s="18">
        <f aca="true" t="shared" si="56" ref="K48:K65">(B48*C48)*1.05%</f>
        <v>61.64933154435736</v>
      </c>
      <c r="L48" s="18">
        <f aca="true" t="shared" si="57" ref="L48:L65">(B48*C48)*0.375%</f>
        <v>22.017618408699054</v>
      </c>
      <c r="M48" s="18">
        <f aca="true" t="shared" si="58" ref="M48:M65">K48+L48</f>
        <v>83.66694995305642</v>
      </c>
      <c r="N48" s="18">
        <f aca="true" t="shared" si="59" ref="N48:N65">(B48*C48)*1.75%</f>
        <v>102.74888590726226</v>
      </c>
      <c r="O48" s="18">
        <f aca="true" t="shared" si="60" ref="O48:O65">(B48*C48)*0.625%</f>
        <v>36.69603068116509</v>
      </c>
      <c r="P48" s="18">
        <f aca="true" t="shared" si="61" ref="P48:P65">N48+O48</f>
        <v>139.44491658842736</v>
      </c>
      <c r="Q48" s="18">
        <f aca="true" t="shared" si="62" ref="Q48:Q62">(B48*C48)*2.5984%</f>
        <v>152.56154579510297</v>
      </c>
      <c r="R48" s="18">
        <f aca="true" t="shared" si="63" ref="R48:R65">(B48*C48)*1%</f>
        <v>58.71364908986415</v>
      </c>
      <c r="S48" s="18">
        <f aca="true" t="shared" si="64" ref="S48:S65">D48+G48+J48+M48+P48+Q48+R48</f>
        <v>1048.9536680618219</v>
      </c>
      <c r="T48" s="23">
        <f aca="true" t="shared" si="65" ref="T48:T68">F48+L48+O48+I48</f>
        <v>73.39206136233018</v>
      </c>
    </row>
    <row r="49" spans="1:20" ht="15">
      <c r="A49" s="285" t="str">
        <f t="shared" si="51"/>
        <v>B</v>
      </c>
      <c r="B49" s="18">
        <f t="shared" si="51"/>
        <v>195.7121636328805</v>
      </c>
      <c r="C49" s="19">
        <v>30</v>
      </c>
      <c r="D49" s="18">
        <f t="shared" si="52"/>
        <v>558.78864</v>
      </c>
      <c r="E49" s="18">
        <v>0</v>
      </c>
      <c r="F49" s="18">
        <v>0</v>
      </c>
      <c r="G49" s="18">
        <v>0</v>
      </c>
      <c r="H49" s="18">
        <f t="shared" si="53"/>
        <v>41.0995543629049</v>
      </c>
      <c r="I49" s="18">
        <f t="shared" si="54"/>
        <v>14.678412272466037</v>
      </c>
      <c r="J49" s="18">
        <f t="shared" si="55"/>
        <v>55.77796663537093</v>
      </c>
      <c r="K49" s="18">
        <f t="shared" si="56"/>
        <v>61.64933154435736</v>
      </c>
      <c r="L49" s="18">
        <f t="shared" si="57"/>
        <v>22.017618408699054</v>
      </c>
      <c r="M49" s="18">
        <f t="shared" si="58"/>
        <v>83.66694995305642</v>
      </c>
      <c r="N49" s="18">
        <f t="shared" si="59"/>
        <v>102.74888590726226</v>
      </c>
      <c r="O49" s="18">
        <f t="shared" si="60"/>
        <v>36.69603068116509</v>
      </c>
      <c r="P49" s="18">
        <f t="shared" si="61"/>
        <v>139.44491658842736</v>
      </c>
      <c r="Q49" s="18">
        <f t="shared" si="62"/>
        <v>152.56154579510297</v>
      </c>
      <c r="R49" s="18">
        <f t="shared" si="63"/>
        <v>58.71364908986415</v>
      </c>
      <c r="S49" s="18">
        <f t="shared" si="64"/>
        <v>1048.9536680618219</v>
      </c>
      <c r="T49" s="23">
        <f t="shared" si="65"/>
        <v>73.39206136233018</v>
      </c>
    </row>
    <row r="50" spans="1:20" ht="15">
      <c r="A50" s="285" t="str">
        <f t="shared" si="51"/>
        <v>C</v>
      </c>
      <c r="B50" s="18">
        <f t="shared" si="51"/>
        <v>176.579547953007</v>
      </c>
      <c r="C50" s="19">
        <v>30</v>
      </c>
      <c r="D50" s="18">
        <f t="shared" si="52"/>
        <v>558.78864</v>
      </c>
      <c r="E50" s="18">
        <v>0</v>
      </c>
      <c r="F50" s="18">
        <v>0</v>
      </c>
      <c r="G50" s="18">
        <f aca="true" t="shared" si="66" ref="G50:G65">E50+F50</f>
        <v>0</v>
      </c>
      <c r="H50" s="18">
        <f t="shared" si="53"/>
        <v>37.08170507013146</v>
      </c>
      <c r="I50" s="18">
        <f t="shared" si="54"/>
        <v>13.243466096475524</v>
      </c>
      <c r="J50" s="18">
        <f t="shared" si="55"/>
        <v>50.325171166606985</v>
      </c>
      <c r="K50" s="18">
        <f t="shared" si="56"/>
        <v>55.62255760519721</v>
      </c>
      <c r="L50" s="18">
        <f t="shared" si="57"/>
        <v>19.865199144713287</v>
      </c>
      <c r="M50" s="18">
        <f t="shared" si="58"/>
        <v>75.48775674991049</v>
      </c>
      <c r="N50" s="18">
        <f t="shared" si="59"/>
        <v>92.70426267532868</v>
      </c>
      <c r="O50" s="18">
        <f t="shared" si="60"/>
        <v>33.10866524118881</v>
      </c>
      <c r="P50" s="18">
        <f t="shared" si="61"/>
        <v>125.81292791651748</v>
      </c>
      <c r="Q50" s="18">
        <f t="shared" si="62"/>
        <v>137.647289220328</v>
      </c>
      <c r="R50" s="18">
        <f t="shared" si="63"/>
        <v>52.9738643859021</v>
      </c>
      <c r="S50" s="18">
        <f t="shared" si="64"/>
        <v>1001.0356494392652</v>
      </c>
      <c r="T50" s="23">
        <f t="shared" si="65"/>
        <v>66.21733048237762</v>
      </c>
    </row>
    <row r="51" spans="1:20" ht="15">
      <c r="A51" s="285" t="str">
        <f t="shared" si="51"/>
        <v>D</v>
      </c>
      <c r="B51" s="18">
        <f t="shared" si="51"/>
        <v>195.7121636328805</v>
      </c>
      <c r="C51" s="19">
        <v>30</v>
      </c>
      <c r="D51" s="18">
        <f t="shared" si="52"/>
        <v>558.78864</v>
      </c>
      <c r="E51" s="18">
        <v>0</v>
      </c>
      <c r="F51" s="18">
        <v>0</v>
      </c>
      <c r="G51" s="18">
        <f t="shared" si="66"/>
        <v>0</v>
      </c>
      <c r="H51" s="18">
        <f t="shared" si="53"/>
        <v>41.0995543629049</v>
      </c>
      <c r="I51" s="18">
        <f t="shared" si="54"/>
        <v>14.678412272466037</v>
      </c>
      <c r="J51" s="18">
        <f t="shared" si="55"/>
        <v>55.77796663537093</v>
      </c>
      <c r="K51" s="18">
        <f t="shared" si="56"/>
        <v>61.64933154435736</v>
      </c>
      <c r="L51" s="18">
        <f t="shared" si="57"/>
        <v>22.017618408699054</v>
      </c>
      <c r="M51" s="18">
        <f t="shared" si="58"/>
        <v>83.66694995305642</v>
      </c>
      <c r="N51" s="18">
        <f t="shared" si="59"/>
        <v>102.74888590726226</v>
      </c>
      <c r="O51" s="18">
        <f t="shared" si="60"/>
        <v>36.69603068116509</v>
      </c>
      <c r="P51" s="18">
        <f t="shared" si="61"/>
        <v>139.44491658842736</v>
      </c>
      <c r="Q51" s="18">
        <f t="shared" si="62"/>
        <v>152.56154579510297</v>
      </c>
      <c r="R51" s="18">
        <f t="shared" si="63"/>
        <v>58.71364908986415</v>
      </c>
      <c r="S51" s="18">
        <f t="shared" si="64"/>
        <v>1048.9536680618219</v>
      </c>
      <c r="T51" s="23">
        <f t="shared" si="65"/>
        <v>73.39206136233018</v>
      </c>
    </row>
    <row r="52" spans="1:31" ht="15.75" thickBot="1">
      <c r="A52" s="285" t="str">
        <f t="shared" si="51"/>
        <v>E</v>
      </c>
      <c r="B52" s="18">
        <f t="shared" si="51"/>
        <v>180.57234265382223</v>
      </c>
      <c r="C52" s="19">
        <v>30</v>
      </c>
      <c r="D52" s="18">
        <f t="shared" si="52"/>
        <v>558.78864</v>
      </c>
      <c r="E52" s="18">
        <v>0</v>
      </c>
      <c r="F52" s="18">
        <v>0</v>
      </c>
      <c r="G52" s="18">
        <f t="shared" si="66"/>
        <v>0</v>
      </c>
      <c r="H52" s="18">
        <f t="shared" si="53"/>
        <v>37.92019195730267</v>
      </c>
      <c r="I52" s="18">
        <f t="shared" si="54"/>
        <v>13.542925699036669</v>
      </c>
      <c r="J52" s="18">
        <f t="shared" si="55"/>
        <v>51.463117656339335</v>
      </c>
      <c r="K52" s="18">
        <f t="shared" si="56"/>
        <v>56.88028793595401</v>
      </c>
      <c r="L52" s="18">
        <f t="shared" si="57"/>
        <v>20.314388548555</v>
      </c>
      <c r="M52" s="18">
        <f t="shared" si="58"/>
        <v>77.19467648450902</v>
      </c>
      <c r="N52" s="18">
        <f t="shared" si="59"/>
        <v>94.80047989325669</v>
      </c>
      <c r="O52" s="18">
        <f t="shared" si="60"/>
        <v>33.857314247591674</v>
      </c>
      <c r="P52" s="18">
        <f t="shared" si="61"/>
        <v>128.65779414084835</v>
      </c>
      <c r="Q52" s="18">
        <f t="shared" si="62"/>
        <v>140.7597525455075</v>
      </c>
      <c r="R52" s="18">
        <f t="shared" si="63"/>
        <v>54.171702796146675</v>
      </c>
      <c r="S52" s="18">
        <f t="shared" si="64"/>
        <v>1011.0356836233509</v>
      </c>
      <c r="T52" s="23">
        <f t="shared" si="65"/>
        <v>67.71462849518335</v>
      </c>
      <c r="W52" s="125"/>
      <c r="X52" s="14"/>
      <c r="Y52" s="14"/>
      <c r="Z52" s="15"/>
      <c r="AA52" s="12"/>
      <c r="AB52" s="12"/>
      <c r="AC52" s="12"/>
      <c r="AD52" s="15"/>
      <c r="AE52" s="13"/>
    </row>
    <row r="53" spans="1:31" ht="15">
      <c r="A53" s="285" t="str">
        <f t="shared" si="51"/>
        <v>F</v>
      </c>
      <c r="B53" s="18">
        <f t="shared" si="51"/>
        <v>195.71260475270168</v>
      </c>
      <c r="C53" s="19">
        <v>30</v>
      </c>
      <c r="D53" s="18">
        <f t="shared" si="52"/>
        <v>558.78864</v>
      </c>
      <c r="E53" s="18"/>
      <c r="F53" s="18"/>
      <c r="G53" s="18"/>
      <c r="H53" s="18">
        <f t="shared" si="53"/>
        <v>41.09964699806735</v>
      </c>
      <c r="I53" s="18">
        <f t="shared" si="54"/>
        <v>14.678445356452626</v>
      </c>
      <c r="J53" s="18">
        <f t="shared" si="55"/>
        <v>55.77809235451998</v>
      </c>
      <c r="K53" s="18">
        <f t="shared" si="56"/>
        <v>61.649470497101035</v>
      </c>
      <c r="L53" s="18">
        <f t="shared" si="57"/>
        <v>22.017668034678938</v>
      </c>
      <c r="M53" s="18">
        <f t="shared" si="58"/>
        <v>83.66713853177997</v>
      </c>
      <c r="N53" s="18">
        <f t="shared" si="59"/>
        <v>102.74911749516839</v>
      </c>
      <c r="O53" s="18">
        <f t="shared" si="60"/>
        <v>36.69611339113157</v>
      </c>
      <c r="P53" s="18">
        <f t="shared" si="61"/>
        <v>139.44523088629995</v>
      </c>
      <c r="Q53" s="18">
        <f t="shared" si="62"/>
        <v>152.561889656826</v>
      </c>
      <c r="R53" s="18">
        <f t="shared" si="63"/>
        <v>58.7137814258105</v>
      </c>
      <c r="S53" s="18">
        <f t="shared" si="64"/>
        <v>1048.9547728552366</v>
      </c>
      <c r="T53" s="23">
        <f t="shared" si="65"/>
        <v>73.39222678226314</v>
      </c>
      <c r="W53" s="8"/>
      <c r="X53" s="8"/>
      <c r="Y53" s="8"/>
      <c r="Z53" s="129"/>
      <c r="AA53" s="130"/>
      <c r="AB53" s="130"/>
      <c r="AC53" s="130"/>
      <c r="AD53" s="129"/>
      <c r="AE53" s="131"/>
    </row>
    <row r="54" spans="1:31" ht="15">
      <c r="A54" s="285" t="str">
        <f t="shared" si="51"/>
        <v>G</v>
      </c>
      <c r="B54" s="18">
        <f t="shared" si="51"/>
        <v>195.47097185205857</v>
      </c>
      <c r="C54" s="19">
        <v>30</v>
      </c>
      <c r="D54" s="18">
        <f t="shared" si="52"/>
        <v>558.78864</v>
      </c>
      <c r="E54" s="18">
        <v>0</v>
      </c>
      <c r="F54" s="18">
        <v>0</v>
      </c>
      <c r="G54" s="18">
        <f t="shared" si="66"/>
        <v>0</v>
      </c>
      <c r="H54" s="18">
        <f t="shared" si="53"/>
        <v>41.0489040889323</v>
      </c>
      <c r="I54" s="18">
        <f t="shared" si="54"/>
        <v>14.660322888904393</v>
      </c>
      <c r="J54" s="18">
        <f t="shared" si="55"/>
        <v>55.70922697783669</v>
      </c>
      <c r="K54" s="18">
        <f t="shared" si="56"/>
        <v>61.573356133398455</v>
      </c>
      <c r="L54" s="18">
        <f t="shared" si="57"/>
        <v>21.990484333356587</v>
      </c>
      <c r="M54" s="18">
        <f t="shared" si="58"/>
        <v>83.56384046675504</v>
      </c>
      <c r="N54" s="18">
        <f t="shared" si="59"/>
        <v>102.62226022233077</v>
      </c>
      <c r="O54" s="18">
        <f t="shared" si="60"/>
        <v>36.65080722226099</v>
      </c>
      <c r="P54" s="18">
        <f t="shared" si="61"/>
        <v>139.27306744459176</v>
      </c>
      <c r="Q54" s="18">
        <f t="shared" si="62"/>
        <v>152.3735319781167</v>
      </c>
      <c r="R54" s="18">
        <f t="shared" si="63"/>
        <v>58.64129155561757</v>
      </c>
      <c r="S54" s="18">
        <f t="shared" si="64"/>
        <v>1048.3495984229178</v>
      </c>
      <c r="T54" s="23">
        <f t="shared" si="65"/>
        <v>73.30161444452196</v>
      </c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ht="15">
      <c r="A55" s="285" t="str">
        <f t="shared" si="51"/>
        <v>H</v>
      </c>
      <c r="B55" s="18">
        <f t="shared" si="51"/>
        <v>170.4284355201248</v>
      </c>
      <c r="C55" s="19">
        <v>30</v>
      </c>
      <c r="D55" s="18">
        <f t="shared" si="52"/>
        <v>558.78864</v>
      </c>
      <c r="E55" s="18">
        <v>0</v>
      </c>
      <c r="F55" s="18">
        <v>0</v>
      </c>
      <c r="G55" s="18">
        <f t="shared" si="66"/>
        <v>0</v>
      </c>
      <c r="H55" s="18">
        <f t="shared" si="53"/>
        <v>35.7899714592262</v>
      </c>
      <c r="I55" s="18">
        <f t="shared" si="54"/>
        <v>12.78213266400936</v>
      </c>
      <c r="J55" s="18">
        <f t="shared" si="55"/>
        <v>48.57210412323556</v>
      </c>
      <c r="K55" s="18">
        <f t="shared" si="56"/>
        <v>53.68495718883931</v>
      </c>
      <c r="L55" s="18">
        <f t="shared" si="57"/>
        <v>19.173198996014037</v>
      </c>
      <c r="M55" s="18">
        <f t="shared" si="58"/>
        <v>72.85815618485336</v>
      </c>
      <c r="N55" s="18">
        <f t="shared" si="59"/>
        <v>89.47492864806553</v>
      </c>
      <c r="O55" s="18">
        <f t="shared" si="60"/>
        <v>31.9553316600234</v>
      </c>
      <c r="P55" s="18">
        <f t="shared" si="61"/>
        <v>121.43026030808893</v>
      </c>
      <c r="Q55" s="18">
        <f t="shared" si="62"/>
        <v>132.85237405664765</v>
      </c>
      <c r="R55" s="18">
        <f t="shared" si="63"/>
        <v>51.12853065603744</v>
      </c>
      <c r="S55" s="18">
        <f t="shared" si="64"/>
        <v>985.630065328863</v>
      </c>
      <c r="T55" s="23">
        <f t="shared" si="65"/>
        <v>63.9106633200468</v>
      </c>
      <c r="W55" s="17"/>
      <c r="X55" s="18"/>
      <c r="Y55" s="17"/>
      <c r="Z55" s="18"/>
      <c r="AA55" s="18"/>
      <c r="AB55" s="18"/>
      <c r="AC55" s="18"/>
      <c r="AD55" s="18"/>
      <c r="AE55" s="18"/>
    </row>
    <row r="56" spans="1:31" ht="15">
      <c r="A56" s="285" t="str">
        <f t="shared" si="51"/>
        <v>I</v>
      </c>
      <c r="B56" s="18">
        <f t="shared" si="51"/>
        <v>194.7476712328767</v>
      </c>
      <c r="C56" s="19">
        <v>30</v>
      </c>
      <c r="D56" s="18">
        <f t="shared" si="52"/>
        <v>558.78864</v>
      </c>
      <c r="E56" s="18">
        <v>0</v>
      </c>
      <c r="F56" s="18">
        <v>0</v>
      </c>
      <c r="G56" s="18">
        <f t="shared" si="66"/>
        <v>0</v>
      </c>
      <c r="H56" s="18">
        <f t="shared" si="53"/>
        <v>40.897010958904104</v>
      </c>
      <c r="I56" s="18">
        <f t="shared" si="54"/>
        <v>14.606075342465754</v>
      </c>
      <c r="J56" s="18">
        <f t="shared" si="55"/>
        <v>55.50308630136986</v>
      </c>
      <c r="K56" s="18">
        <f t="shared" si="56"/>
        <v>61.34551643835617</v>
      </c>
      <c r="L56" s="18">
        <f t="shared" si="57"/>
        <v>21.90911301369863</v>
      </c>
      <c r="M56" s="18">
        <f t="shared" si="58"/>
        <v>83.2546294520548</v>
      </c>
      <c r="N56" s="18">
        <f t="shared" si="59"/>
        <v>102.24252739726029</v>
      </c>
      <c r="O56" s="18">
        <f t="shared" si="60"/>
        <v>36.51518835616439</v>
      </c>
      <c r="P56" s="18">
        <f t="shared" si="61"/>
        <v>138.7577157534247</v>
      </c>
      <c r="Q56" s="18">
        <f t="shared" si="62"/>
        <v>151.80970467945204</v>
      </c>
      <c r="R56" s="18">
        <f t="shared" si="63"/>
        <v>58.42430136986302</v>
      </c>
      <c r="S56" s="18">
        <f t="shared" si="64"/>
        <v>1046.5380775561644</v>
      </c>
      <c r="T56" s="23">
        <f t="shared" si="65"/>
        <v>73.03037671232877</v>
      </c>
      <c r="W56" s="17"/>
      <c r="X56" s="18"/>
      <c r="Y56" s="17"/>
      <c r="Z56" s="18"/>
      <c r="AA56" s="18"/>
      <c r="AB56" s="18"/>
      <c r="AC56" s="18"/>
      <c r="AD56" s="18"/>
      <c r="AE56" s="18"/>
    </row>
    <row r="57" spans="1:31" ht="15">
      <c r="A57" s="285" t="str">
        <f t="shared" si="51"/>
        <v>J</v>
      </c>
      <c r="B57" s="18">
        <f t="shared" si="51"/>
        <v>194.98886301369862</v>
      </c>
      <c r="C57" s="19">
        <v>30</v>
      </c>
      <c r="D57" s="18">
        <f t="shared" si="52"/>
        <v>558.78864</v>
      </c>
      <c r="E57" s="18">
        <v>0</v>
      </c>
      <c r="F57" s="18">
        <v>0</v>
      </c>
      <c r="G57" s="18">
        <f t="shared" si="66"/>
        <v>0</v>
      </c>
      <c r="H57" s="18">
        <f t="shared" si="53"/>
        <v>40.94766123287671</v>
      </c>
      <c r="I57" s="18">
        <f t="shared" si="54"/>
        <v>14.624164726027399</v>
      </c>
      <c r="J57" s="18">
        <f t="shared" si="55"/>
        <v>55.571825958904114</v>
      </c>
      <c r="K57" s="18">
        <f t="shared" si="56"/>
        <v>61.421491849315075</v>
      </c>
      <c r="L57" s="18">
        <f t="shared" si="57"/>
        <v>21.936247089041096</v>
      </c>
      <c r="M57" s="18">
        <f t="shared" si="58"/>
        <v>83.35773893835616</v>
      </c>
      <c r="N57" s="18">
        <f t="shared" si="59"/>
        <v>102.36915308219179</v>
      </c>
      <c r="O57" s="18">
        <f t="shared" si="60"/>
        <v>36.5604118150685</v>
      </c>
      <c r="P57" s="18">
        <f t="shared" si="61"/>
        <v>138.9295648972603</v>
      </c>
      <c r="Q57" s="18">
        <f t="shared" si="62"/>
        <v>151.99771849643835</v>
      </c>
      <c r="R57" s="18">
        <f t="shared" si="63"/>
        <v>58.496658904109594</v>
      </c>
      <c r="S57" s="18">
        <f t="shared" si="64"/>
        <v>1047.1421471950684</v>
      </c>
      <c r="T57" s="23">
        <f t="shared" si="65"/>
        <v>73.120823630137</v>
      </c>
      <c r="W57" s="17"/>
      <c r="X57" s="18"/>
      <c r="Y57" s="17"/>
      <c r="Z57" s="18"/>
      <c r="AA57" s="18"/>
      <c r="AB57" s="18"/>
      <c r="AC57" s="18"/>
      <c r="AD57" s="18"/>
      <c r="AE57" s="18"/>
    </row>
    <row r="58" spans="1:31" ht="15">
      <c r="A58" s="285" t="str">
        <f t="shared" si="51"/>
        <v>K</v>
      </c>
      <c r="B58" s="18">
        <f t="shared" si="51"/>
        <v>307.9242339737279</v>
      </c>
      <c r="C58" s="19">
        <v>30</v>
      </c>
      <c r="D58" s="18">
        <f t="shared" si="52"/>
        <v>558.78864</v>
      </c>
      <c r="E58" s="18">
        <f>(((B58-(86.88*3))*30.4)*1.1%)</f>
        <v>15.811847840814613</v>
      </c>
      <c r="F58" s="18">
        <f>(((B58-(86.88*3))*30.4)*0.4%)</f>
        <v>5.749762851205314</v>
      </c>
      <c r="G58" s="18">
        <f t="shared" si="66"/>
        <v>21.561610692019926</v>
      </c>
      <c r="H58" s="18">
        <f t="shared" si="53"/>
        <v>64.66408913448285</v>
      </c>
      <c r="I58" s="18">
        <f t="shared" si="54"/>
        <v>23.094317548029593</v>
      </c>
      <c r="J58" s="18">
        <f t="shared" si="55"/>
        <v>87.75840668251244</v>
      </c>
      <c r="K58" s="18">
        <f t="shared" si="56"/>
        <v>96.9961337017243</v>
      </c>
      <c r="L58" s="18">
        <f t="shared" si="57"/>
        <v>34.64147632204439</v>
      </c>
      <c r="M58" s="18">
        <f t="shared" si="58"/>
        <v>131.6376100237687</v>
      </c>
      <c r="N58" s="18">
        <f t="shared" si="59"/>
        <v>161.66022283620717</v>
      </c>
      <c r="O58" s="18">
        <f t="shared" si="60"/>
        <v>57.73579387007399</v>
      </c>
      <c r="P58" s="18">
        <f t="shared" si="61"/>
        <v>219.39601670628116</v>
      </c>
      <c r="Q58" s="18">
        <f t="shared" si="62"/>
        <v>240.03309886720035</v>
      </c>
      <c r="R58" s="18">
        <f t="shared" si="63"/>
        <v>92.37727019211837</v>
      </c>
      <c r="S58" s="18">
        <f t="shared" si="64"/>
        <v>1351.5526531639011</v>
      </c>
      <c r="T58" s="23">
        <f t="shared" si="65"/>
        <v>121.22135059135329</v>
      </c>
      <c r="W58" s="17"/>
      <c r="X58" s="18"/>
      <c r="Y58" s="17"/>
      <c r="Z58" s="18"/>
      <c r="AA58" s="18"/>
      <c r="AB58" s="18"/>
      <c r="AC58" s="18"/>
      <c r="AD58" s="18"/>
      <c r="AE58" s="18"/>
    </row>
    <row r="59" spans="1:31" ht="15" hidden="1">
      <c r="A59" s="285">
        <f t="shared" si="51"/>
        <v>0</v>
      </c>
      <c r="B59" s="18">
        <f t="shared" si="51"/>
        <v>158</v>
      </c>
      <c r="C59" s="19">
        <v>30</v>
      </c>
      <c r="D59" s="18">
        <f t="shared" si="52"/>
        <v>558.78864</v>
      </c>
      <c r="E59" s="18">
        <v>0</v>
      </c>
      <c r="F59" s="18">
        <v>0</v>
      </c>
      <c r="G59" s="18">
        <f t="shared" si="66"/>
        <v>0</v>
      </c>
      <c r="H59" s="18">
        <f t="shared" si="53"/>
        <v>33.18</v>
      </c>
      <c r="I59" s="18">
        <f t="shared" si="54"/>
        <v>11.85</v>
      </c>
      <c r="J59" s="18">
        <f t="shared" si="55"/>
        <v>45.03</v>
      </c>
      <c r="K59" s="18">
        <f t="shared" si="56"/>
        <v>49.77</v>
      </c>
      <c r="L59" s="18">
        <f t="shared" si="57"/>
        <v>17.775</v>
      </c>
      <c r="M59" s="18">
        <f t="shared" si="58"/>
        <v>67.545</v>
      </c>
      <c r="N59" s="18">
        <f t="shared" si="59"/>
        <v>82.95</v>
      </c>
      <c r="O59" s="18">
        <f t="shared" si="60"/>
        <v>29.625</v>
      </c>
      <c r="P59" s="18">
        <f t="shared" si="61"/>
        <v>112.575</v>
      </c>
      <c r="Q59" s="18">
        <f t="shared" si="62"/>
        <v>123.16415999999998</v>
      </c>
      <c r="R59" s="18">
        <f t="shared" si="63"/>
        <v>47.4</v>
      </c>
      <c r="S59" s="18">
        <f t="shared" si="64"/>
        <v>954.5027999999999</v>
      </c>
      <c r="T59" s="23">
        <f t="shared" si="65"/>
        <v>59.25</v>
      </c>
      <c r="W59" s="17"/>
      <c r="X59" s="18"/>
      <c r="Y59" s="17"/>
      <c r="Z59" s="18"/>
      <c r="AA59" s="18"/>
      <c r="AB59" s="18"/>
      <c r="AC59" s="18"/>
      <c r="AD59" s="18"/>
      <c r="AE59" s="18"/>
    </row>
    <row r="60" spans="1:31" ht="15">
      <c r="A60" s="285" t="str">
        <f t="shared" si="51"/>
        <v>L </v>
      </c>
      <c r="B60" s="18">
        <f t="shared" si="51"/>
        <v>194.98886301369862</v>
      </c>
      <c r="C60" s="19">
        <v>30</v>
      </c>
      <c r="D60" s="18">
        <f t="shared" si="52"/>
        <v>558.78864</v>
      </c>
      <c r="E60" s="18">
        <v>0</v>
      </c>
      <c r="F60" s="18">
        <v>0</v>
      </c>
      <c r="G60" s="18">
        <f t="shared" si="66"/>
        <v>0</v>
      </c>
      <c r="H60" s="18">
        <f t="shared" si="53"/>
        <v>40.94766123287671</v>
      </c>
      <c r="I60" s="18">
        <f t="shared" si="54"/>
        <v>14.624164726027399</v>
      </c>
      <c r="J60" s="18">
        <f t="shared" si="55"/>
        <v>55.571825958904114</v>
      </c>
      <c r="K60" s="18">
        <f t="shared" si="56"/>
        <v>61.421491849315075</v>
      </c>
      <c r="L60" s="18">
        <f t="shared" si="57"/>
        <v>21.936247089041096</v>
      </c>
      <c r="M60" s="18">
        <f t="shared" si="58"/>
        <v>83.35773893835616</v>
      </c>
      <c r="N60" s="18">
        <f t="shared" si="59"/>
        <v>102.36915308219179</v>
      </c>
      <c r="O60" s="18">
        <f t="shared" si="60"/>
        <v>36.5604118150685</v>
      </c>
      <c r="P60" s="18">
        <f t="shared" si="61"/>
        <v>138.9295648972603</v>
      </c>
      <c r="Q60" s="18">
        <f t="shared" si="62"/>
        <v>151.99771849643835</v>
      </c>
      <c r="R60" s="18">
        <f t="shared" si="63"/>
        <v>58.496658904109594</v>
      </c>
      <c r="S60" s="18">
        <f t="shared" si="64"/>
        <v>1047.1421471950684</v>
      </c>
      <c r="T60" s="23">
        <f t="shared" si="65"/>
        <v>73.120823630137</v>
      </c>
      <c r="W60" s="17"/>
      <c r="X60" s="18"/>
      <c r="Y60" s="17"/>
      <c r="Z60" s="18"/>
      <c r="AA60" s="18"/>
      <c r="AB60" s="18"/>
      <c r="AC60" s="18"/>
      <c r="AD60" s="18"/>
      <c r="AE60" s="18"/>
    </row>
    <row r="61" spans="1:31" ht="15">
      <c r="A61" s="285" t="str">
        <f t="shared" si="51"/>
        <v>LL</v>
      </c>
      <c r="B61" s="18">
        <f t="shared" si="51"/>
        <v>170.0107193883578</v>
      </c>
      <c r="C61" s="19">
        <v>30</v>
      </c>
      <c r="D61" s="18">
        <f t="shared" si="52"/>
        <v>558.78864</v>
      </c>
      <c r="E61" s="18">
        <v>0</v>
      </c>
      <c r="F61" s="18">
        <v>0</v>
      </c>
      <c r="G61" s="18">
        <f t="shared" si="66"/>
        <v>0</v>
      </c>
      <c r="H61" s="18">
        <f t="shared" si="53"/>
        <v>35.70225107155514</v>
      </c>
      <c r="I61" s="18">
        <f t="shared" si="54"/>
        <v>12.750803954126837</v>
      </c>
      <c r="J61" s="18">
        <f t="shared" si="55"/>
        <v>48.45305502568198</v>
      </c>
      <c r="K61" s="18">
        <f t="shared" si="56"/>
        <v>53.553376607332716</v>
      </c>
      <c r="L61" s="18">
        <f t="shared" si="57"/>
        <v>19.126205931190253</v>
      </c>
      <c r="M61" s="18">
        <f t="shared" si="58"/>
        <v>72.67958253852296</v>
      </c>
      <c r="N61" s="18">
        <f t="shared" si="59"/>
        <v>89.25562767888786</v>
      </c>
      <c r="O61" s="18">
        <f t="shared" si="60"/>
        <v>31.877009885317094</v>
      </c>
      <c r="P61" s="18">
        <f t="shared" si="61"/>
        <v>121.13263756420496</v>
      </c>
      <c r="Q61" s="18">
        <f t="shared" si="62"/>
        <v>132.52675597761268</v>
      </c>
      <c r="R61" s="18">
        <f t="shared" si="63"/>
        <v>51.00321581650735</v>
      </c>
      <c r="S61" s="18">
        <f t="shared" si="64"/>
        <v>984.5838869225299</v>
      </c>
      <c r="T61" s="23">
        <f t="shared" si="65"/>
        <v>63.75401977063419</v>
      </c>
      <c r="W61" s="17"/>
      <c r="X61" s="18"/>
      <c r="Y61" s="17"/>
      <c r="Z61" s="18"/>
      <c r="AA61" s="18"/>
      <c r="AB61" s="18"/>
      <c r="AC61" s="18"/>
      <c r="AD61" s="18"/>
      <c r="AE61" s="18"/>
    </row>
    <row r="62" spans="1:31" ht="15">
      <c r="A62" s="285" t="str">
        <f t="shared" si="51"/>
        <v>M</v>
      </c>
      <c r="B62" s="18">
        <f t="shared" si="51"/>
        <v>170.01043767196674</v>
      </c>
      <c r="C62" s="19">
        <v>30</v>
      </c>
      <c r="D62" s="18">
        <f t="shared" si="52"/>
        <v>558.78864</v>
      </c>
      <c r="E62" s="18">
        <v>0</v>
      </c>
      <c r="F62" s="18">
        <v>0</v>
      </c>
      <c r="G62" s="18">
        <f t="shared" si="66"/>
        <v>0</v>
      </c>
      <c r="H62" s="18">
        <f t="shared" si="53"/>
        <v>35.70219191111301</v>
      </c>
      <c r="I62" s="18">
        <f t="shared" si="54"/>
        <v>12.750782825397506</v>
      </c>
      <c r="J62" s="18">
        <f t="shared" si="55"/>
        <v>48.45297473651052</v>
      </c>
      <c r="K62" s="18">
        <f t="shared" si="56"/>
        <v>53.55328786666952</v>
      </c>
      <c r="L62" s="18">
        <f t="shared" si="57"/>
        <v>19.126174238096258</v>
      </c>
      <c r="M62" s="18">
        <f t="shared" si="58"/>
        <v>72.67946210476578</v>
      </c>
      <c r="N62" s="18">
        <f t="shared" si="59"/>
        <v>89.25547977778254</v>
      </c>
      <c r="O62" s="18">
        <f t="shared" si="60"/>
        <v>31.876957063493762</v>
      </c>
      <c r="P62" s="18">
        <f t="shared" si="61"/>
        <v>121.1324368412763</v>
      </c>
      <c r="Q62" s="18">
        <f t="shared" si="62"/>
        <v>132.5265363740515</v>
      </c>
      <c r="R62" s="18">
        <f t="shared" si="63"/>
        <v>51.003131301590024</v>
      </c>
      <c r="S62" s="18">
        <f t="shared" si="64"/>
        <v>984.5831813581941</v>
      </c>
      <c r="T62" s="23">
        <f t="shared" si="65"/>
        <v>63.753914126987524</v>
      </c>
      <c r="W62" s="17"/>
      <c r="X62" s="18"/>
      <c r="Y62" s="17"/>
      <c r="Z62" s="18"/>
      <c r="AA62" s="18"/>
      <c r="AB62" s="18"/>
      <c r="AC62" s="18"/>
      <c r="AD62" s="18"/>
      <c r="AE62" s="18"/>
    </row>
    <row r="63" spans="1:31" ht="15">
      <c r="A63" s="285" t="str">
        <f t="shared" si="51"/>
        <v>N</v>
      </c>
      <c r="B63" s="18">
        <f t="shared" si="51"/>
        <v>169.8017808219178</v>
      </c>
      <c r="C63" s="19">
        <v>30</v>
      </c>
      <c r="D63" s="18">
        <f t="shared" si="52"/>
        <v>558.78864</v>
      </c>
      <c r="E63" s="18">
        <v>0</v>
      </c>
      <c r="F63" s="18">
        <v>0</v>
      </c>
      <c r="G63" s="18">
        <f t="shared" si="66"/>
        <v>0</v>
      </c>
      <c r="H63" s="18">
        <f t="shared" si="53"/>
        <v>35.65837397260273</v>
      </c>
      <c r="I63" s="18">
        <f t="shared" si="54"/>
        <v>12.735133561643835</v>
      </c>
      <c r="J63" s="18">
        <f t="shared" si="55"/>
        <v>48.39350753424657</v>
      </c>
      <c r="K63" s="18">
        <f t="shared" si="56"/>
        <v>53.487560958904105</v>
      </c>
      <c r="L63" s="18">
        <f t="shared" si="57"/>
        <v>19.10270034246575</v>
      </c>
      <c r="M63" s="18">
        <f t="shared" si="58"/>
        <v>72.59026130136985</v>
      </c>
      <c r="N63" s="18">
        <f t="shared" si="59"/>
        <v>89.14593493150684</v>
      </c>
      <c r="O63" s="18">
        <f t="shared" si="60"/>
        <v>31.837833904109587</v>
      </c>
      <c r="P63" s="18">
        <f t="shared" si="61"/>
        <v>120.98376883561643</v>
      </c>
      <c r="Q63" s="18">
        <f aca="true" t="shared" si="67" ref="Q63:Q68">(B63*C63)*0.54355%</f>
        <v>27.68872738972602</v>
      </c>
      <c r="R63" s="18">
        <f t="shared" si="63"/>
        <v>50.94053424657534</v>
      </c>
      <c r="S63" s="18">
        <f t="shared" si="64"/>
        <v>879.3854393075342</v>
      </c>
      <c r="T63" s="23">
        <f t="shared" si="65"/>
        <v>63.675667808219174</v>
      </c>
      <c r="W63" s="17"/>
      <c r="X63" s="18"/>
      <c r="Y63" s="17"/>
      <c r="Z63" s="18"/>
      <c r="AA63" s="18"/>
      <c r="AB63" s="18"/>
      <c r="AC63" s="18"/>
      <c r="AD63" s="18"/>
      <c r="AE63" s="18"/>
    </row>
    <row r="64" spans="1:31" ht="15">
      <c r="A64" s="285" t="str">
        <f t="shared" si="51"/>
        <v>Ñ</v>
      </c>
      <c r="B64" s="18">
        <f t="shared" si="51"/>
        <v>169.8017808219178</v>
      </c>
      <c r="C64" s="19">
        <v>30</v>
      </c>
      <c r="D64" s="18">
        <f t="shared" si="52"/>
        <v>558.78864</v>
      </c>
      <c r="E64" s="18">
        <v>0</v>
      </c>
      <c r="F64" s="18">
        <v>0</v>
      </c>
      <c r="G64" s="18">
        <f t="shared" si="66"/>
        <v>0</v>
      </c>
      <c r="H64" s="18">
        <f t="shared" si="53"/>
        <v>35.65837397260273</v>
      </c>
      <c r="I64" s="18">
        <f t="shared" si="54"/>
        <v>12.735133561643835</v>
      </c>
      <c r="J64" s="18">
        <f t="shared" si="55"/>
        <v>48.39350753424657</v>
      </c>
      <c r="K64" s="18">
        <f t="shared" si="56"/>
        <v>53.487560958904105</v>
      </c>
      <c r="L64" s="18">
        <f t="shared" si="57"/>
        <v>19.10270034246575</v>
      </c>
      <c r="M64" s="18">
        <f t="shared" si="58"/>
        <v>72.59026130136985</v>
      </c>
      <c r="N64" s="18">
        <f t="shared" si="59"/>
        <v>89.14593493150684</v>
      </c>
      <c r="O64" s="18">
        <f t="shared" si="60"/>
        <v>31.837833904109587</v>
      </c>
      <c r="P64" s="18">
        <f t="shared" si="61"/>
        <v>120.98376883561643</v>
      </c>
      <c r="Q64" s="18">
        <f t="shared" si="67"/>
        <v>27.68872738972602</v>
      </c>
      <c r="R64" s="18">
        <f t="shared" si="63"/>
        <v>50.94053424657534</v>
      </c>
      <c r="S64" s="18">
        <f t="shared" si="64"/>
        <v>879.3854393075342</v>
      </c>
      <c r="T64" s="23">
        <f t="shared" si="65"/>
        <v>63.675667808219174</v>
      </c>
      <c r="W64" s="17"/>
      <c r="X64" s="18"/>
      <c r="Y64" s="17"/>
      <c r="Z64" s="18"/>
      <c r="AA64" s="18"/>
      <c r="AB64" s="18"/>
      <c r="AC64" s="18"/>
      <c r="AD64" s="18"/>
      <c r="AE64" s="18"/>
    </row>
    <row r="65" spans="1:31" ht="15">
      <c r="A65" s="285" t="str">
        <f t="shared" si="51"/>
        <v>O</v>
      </c>
      <c r="B65" s="18">
        <f t="shared" si="51"/>
        <v>194.7476712328767</v>
      </c>
      <c r="C65" s="19">
        <v>30</v>
      </c>
      <c r="D65" s="18">
        <f t="shared" si="52"/>
        <v>558.78864</v>
      </c>
      <c r="E65" s="18">
        <v>0</v>
      </c>
      <c r="F65" s="18">
        <v>0</v>
      </c>
      <c r="G65" s="18">
        <f t="shared" si="66"/>
        <v>0</v>
      </c>
      <c r="H65" s="18">
        <f t="shared" si="53"/>
        <v>40.897010958904104</v>
      </c>
      <c r="I65" s="18">
        <f t="shared" si="54"/>
        <v>14.606075342465754</v>
      </c>
      <c r="J65" s="18">
        <f t="shared" si="55"/>
        <v>55.50308630136986</v>
      </c>
      <c r="K65" s="18">
        <f t="shared" si="56"/>
        <v>61.34551643835617</v>
      </c>
      <c r="L65" s="18">
        <f t="shared" si="57"/>
        <v>21.90911301369863</v>
      </c>
      <c r="M65" s="18">
        <f t="shared" si="58"/>
        <v>83.2546294520548</v>
      </c>
      <c r="N65" s="18">
        <f t="shared" si="59"/>
        <v>102.24252739726029</v>
      </c>
      <c r="O65" s="18">
        <f t="shared" si="60"/>
        <v>36.51518835616439</v>
      </c>
      <c r="P65" s="18">
        <f t="shared" si="61"/>
        <v>138.7577157534247</v>
      </c>
      <c r="Q65" s="18">
        <f t="shared" si="67"/>
        <v>31.756529009589038</v>
      </c>
      <c r="R65" s="18">
        <f t="shared" si="63"/>
        <v>58.42430136986302</v>
      </c>
      <c r="S65" s="18">
        <f t="shared" si="64"/>
        <v>926.4849018863014</v>
      </c>
      <c r="T65" s="23">
        <f t="shared" si="65"/>
        <v>73.03037671232877</v>
      </c>
      <c r="W65" s="17"/>
      <c r="X65" s="18"/>
      <c r="Y65" s="17"/>
      <c r="Z65" s="18"/>
      <c r="AA65" s="18"/>
      <c r="AB65" s="18"/>
      <c r="AC65" s="18"/>
      <c r="AD65" s="18"/>
      <c r="AE65" s="18"/>
    </row>
    <row r="66" spans="1:31" ht="15">
      <c r="A66" s="285" t="str">
        <f t="shared" si="51"/>
        <v>P </v>
      </c>
      <c r="B66" s="18">
        <f t="shared" si="51"/>
        <v>159.14301369863014</v>
      </c>
      <c r="C66" s="19">
        <v>30</v>
      </c>
      <c r="D66" s="18">
        <f t="shared" si="52"/>
        <v>558.78864</v>
      </c>
      <c r="E66" s="18">
        <v>0</v>
      </c>
      <c r="F66" s="18">
        <v>0</v>
      </c>
      <c r="G66" s="18">
        <f>E66+F66</f>
        <v>0</v>
      </c>
      <c r="H66" s="18">
        <f aca="true" t="shared" si="68" ref="H66:H79">(B66*C66)*0.7%</f>
        <v>33.42003287671233</v>
      </c>
      <c r="I66" s="18">
        <f aca="true" t="shared" si="69" ref="I66:I79">(B66*C66)*0.25%</f>
        <v>11.935726027397262</v>
      </c>
      <c r="J66" s="18">
        <f aca="true" t="shared" si="70" ref="J66:J79">H66+I66</f>
        <v>45.35575890410959</v>
      </c>
      <c r="K66" s="18">
        <f aca="true" t="shared" si="71" ref="K66:K79">(B66*C66)*1.05%</f>
        <v>50.1300493150685</v>
      </c>
      <c r="L66" s="18">
        <f aca="true" t="shared" si="72" ref="L66:L79">(B66*C66)*0.375%</f>
        <v>17.90358904109589</v>
      </c>
      <c r="M66" s="18">
        <f aca="true" t="shared" si="73" ref="M66:M79">K66+L66</f>
        <v>68.03363835616439</v>
      </c>
      <c r="N66" s="18">
        <f aca="true" t="shared" si="74" ref="N66:N79">(B66*C66)*1.75%</f>
        <v>83.55008219178083</v>
      </c>
      <c r="O66" s="18">
        <f aca="true" t="shared" si="75" ref="O66:O79">(B66*C66)*0.625%</f>
        <v>29.839315068493153</v>
      </c>
      <c r="P66" s="18">
        <f aca="true" t="shared" si="76" ref="P66:P79">N66+O66</f>
        <v>113.38939726027398</v>
      </c>
      <c r="Q66" s="18">
        <f t="shared" si="67"/>
        <v>25.950655528767122</v>
      </c>
      <c r="R66" s="18">
        <f aca="true" t="shared" si="77" ref="R66:R79">(B66*C66)*1%</f>
        <v>47.74290410958905</v>
      </c>
      <c r="S66" s="18">
        <f aca="true" t="shared" si="78" ref="S66:S79">D66+G66+J66+M66+P66+Q66+R66</f>
        <v>859.2609941589042</v>
      </c>
      <c r="T66" s="23">
        <f t="shared" si="65"/>
        <v>59.678630136986314</v>
      </c>
      <c r="W66" s="17"/>
      <c r="X66" s="18"/>
      <c r="Y66" s="17"/>
      <c r="Z66" s="18"/>
      <c r="AA66" s="18"/>
      <c r="AB66" s="18"/>
      <c r="AC66" s="18"/>
      <c r="AD66" s="18"/>
      <c r="AE66" s="18"/>
    </row>
    <row r="67" spans="1:31" ht="15">
      <c r="A67" s="285" t="str">
        <f t="shared" si="51"/>
        <v>Q</v>
      </c>
      <c r="B67" s="18">
        <f t="shared" si="51"/>
        <v>169.8017808219178</v>
      </c>
      <c r="C67" s="19">
        <v>30</v>
      </c>
      <c r="D67" s="18">
        <f t="shared" si="52"/>
        <v>558.78864</v>
      </c>
      <c r="E67" s="18"/>
      <c r="F67" s="18"/>
      <c r="G67" s="18"/>
      <c r="H67" s="18">
        <f t="shared" si="68"/>
        <v>35.65837397260273</v>
      </c>
      <c r="I67" s="18">
        <f t="shared" si="69"/>
        <v>12.735133561643835</v>
      </c>
      <c r="J67" s="18">
        <f t="shared" si="70"/>
        <v>48.39350753424657</v>
      </c>
      <c r="K67" s="18">
        <f t="shared" si="71"/>
        <v>53.487560958904105</v>
      </c>
      <c r="L67" s="18">
        <f t="shared" si="72"/>
        <v>19.10270034246575</v>
      </c>
      <c r="M67" s="18">
        <f t="shared" si="73"/>
        <v>72.59026130136985</v>
      </c>
      <c r="N67" s="18">
        <f t="shared" si="74"/>
        <v>89.14593493150684</v>
      </c>
      <c r="O67" s="18">
        <f t="shared" si="75"/>
        <v>31.837833904109587</v>
      </c>
      <c r="P67" s="18">
        <f t="shared" si="76"/>
        <v>120.98376883561643</v>
      </c>
      <c r="Q67" s="18">
        <f>(B67*C67)*0.54355%</f>
        <v>27.68872738972602</v>
      </c>
      <c r="R67" s="18">
        <f t="shared" si="77"/>
        <v>50.94053424657534</v>
      </c>
      <c r="S67" s="18">
        <f t="shared" si="78"/>
        <v>879.3854393075342</v>
      </c>
      <c r="T67" s="23">
        <f t="shared" si="65"/>
        <v>63.675667808219174</v>
      </c>
      <c r="W67" s="17"/>
      <c r="X67" s="18"/>
      <c r="Y67" s="17"/>
      <c r="Z67" s="18"/>
      <c r="AA67" s="18"/>
      <c r="AB67" s="18"/>
      <c r="AC67" s="18"/>
      <c r="AD67" s="18"/>
      <c r="AE67" s="18"/>
    </row>
    <row r="68" spans="1:31" ht="15">
      <c r="A68" s="285" t="str">
        <f t="shared" si="51"/>
        <v>T</v>
      </c>
      <c r="B68" s="18">
        <f t="shared" si="51"/>
        <v>159.14301369863014</v>
      </c>
      <c r="C68" s="19">
        <v>30</v>
      </c>
      <c r="D68" s="18">
        <f t="shared" si="52"/>
        <v>558.78864</v>
      </c>
      <c r="E68" s="18">
        <v>0</v>
      </c>
      <c r="F68" s="18">
        <v>0</v>
      </c>
      <c r="G68" s="18">
        <f aca="true" t="shared" si="79" ref="G68:G79">E68+F68</f>
        <v>0</v>
      </c>
      <c r="H68" s="18">
        <f t="shared" si="68"/>
        <v>33.42003287671233</v>
      </c>
      <c r="I68" s="18">
        <f t="shared" si="69"/>
        <v>11.935726027397262</v>
      </c>
      <c r="J68" s="18">
        <f t="shared" si="70"/>
        <v>45.35575890410959</v>
      </c>
      <c r="K68" s="18">
        <f t="shared" si="71"/>
        <v>50.1300493150685</v>
      </c>
      <c r="L68" s="18">
        <f t="shared" si="72"/>
        <v>17.90358904109589</v>
      </c>
      <c r="M68" s="18">
        <f t="shared" si="73"/>
        <v>68.03363835616439</v>
      </c>
      <c r="N68" s="18">
        <f t="shared" si="74"/>
        <v>83.55008219178083</v>
      </c>
      <c r="O68" s="18">
        <f t="shared" si="75"/>
        <v>29.839315068493153</v>
      </c>
      <c r="P68" s="18">
        <f t="shared" si="76"/>
        <v>113.38939726027398</v>
      </c>
      <c r="Q68" s="18">
        <f t="shared" si="67"/>
        <v>25.950655528767122</v>
      </c>
      <c r="R68" s="18">
        <f t="shared" si="77"/>
        <v>47.74290410958905</v>
      </c>
      <c r="S68" s="18">
        <f t="shared" si="78"/>
        <v>859.2609941589042</v>
      </c>
      <c r="T68" s="23">
        <f t="shared" si="65"/>
        <v>59.678630136986314</v>
      </c>
      <c r="W68" s="17"/>
      <c r="X68" s="18"/>
      <c r="Y68" s="17"/>
      <c r="Z68" s="18"/>
      <c r="AA68" s="18"/>
      <c r="AB68" s="18"/>
      <c r="AC68" s="18"/>
      <c r="AD68" s="18"/>
      <c r="AE68" s="18"/>
    </row>
    <row r="69" spans="1:31" s="159" customFormat="1" ht="15">
      <c r="A69" s="285" t="str">
        <f t="shared" si="51"/>
        <v>U</v>
      </c>
      <c r="B69" s="18">
        <f t="shared" si="51"/>
        <v>194.50647945205478</v>
      </c>
      <c r="C69" s="151">
        <v>30</v>
      </c>
      <c r="D69" s="18">
        <f t="shared" si="52"/>
        <v>558.78864</v>
      </c>
      <c r="E69" s="18">
        <v>0</v>
      </c>
      <c r="F69" s="18">
        <v>0</v>
      </c>
      <c r="G69" s="18">
        <f t="shared" si="79"/>
        <v>0</v>
      </c>
      <c r="H69" s="18">
        <f t="shared" si="68"/>
        <v>40.8463606849315</v>
      </c>
      <c r="I69" s="18">
        <f t="shared" si="69"/>
        <v>14.587985958904108</v>
      </c>
      <c r="J69" s="18">
        <f t="shared" si="70"/>
        <v>55.4343466438356</v>
      </c>
      <c r="K69" s="18">
        <f t="shared" si="71"/>
        <v>61.26954102739725</v>
      </c>
      <c r="L69" s="18">
        <f t="shared" si="72"/>
        <v>21.88197893835616</v>
      </c>
      <c r="M69" s="18">
        <f t="shared" si="73"/>
        <v>83.15151996575341</v>
      </c>
      <c r="N69" s="18">
        <f t="shared" si="74"/>
        <v>102.11590171232876</v>
      </c>
      <c r="O69" s="18">
        <f t="shared" si="75"/>
        <v>36.46996489726027</v>
      </c>
      <c r="P69" s="18">
        <f t="shared" si="76"/>
        <v>138.58586660958903</v>
      </c>
      <c r="Q69" s="18">
        <f aca="true" t="shared" si="80" ref="Q69:Q79">(B69*C69)*0.54355%</f>
        <v>31.717199071849308</v>
      </c>
      <c r="R69" s="18">
        <f t="shared" si="77"/>
        <v>58.35194383561643</v>
      </c>
      <c r="S69" s="18">
        <f t="shared" si="78"/>
        <v>926.0295161266439</v>
      </c>
      <c r="T69" s="167">
        <f aca="true" t="shared" si="81" ref="T69:T79">F69+L69+O69+I69</f>
        <v>72.93992979452054</v>
      </c>
      <c r="W69" s="151"/>
      <c r="X69" s="18"/>
      <c r="Y69" s="151"/>
      <c r="Z69" s="18"/>
      <c r="AA69" s="18"/>
      <c r="AB69" s="18"/>
      <c r="AC69" s="18"/>
      <c r="AD69" s="18"/>
      <c r="AE69" s="18"/>
    </row>
    <row r="70" spans="1:31" ht="15">
      <c r="A70" s="285" t="str">
        <f t="shared" si="51"/>
        <v>W</v>
      </c>
      <c r="B70" s="18">
        <f t="shared" si="51"/>
        <v>159.14301369863014</v>
      </c>
      <c r="C70" s="151">
        <v>30</v>
      </c>
      <c r="D70" s="18">
        <f t="shared" si="52"/>
        <v>558.78864</v>
      </c>
      <c r="E70" s="18">
        <v>0</v>
      </c>
      <c r="F70" s="18">
        <v>0</v>
      </c>
      <c r="G70" s="18">
        <f t="shared" si="79"/>
        <v>0</v>
      </c>
      <c r="H70" s="18">
        <f t="shared" si="68"/>
        <v>33.42003287671233</v>
      </c>
      <c r="I70" s="18">
        <f t="shared" si="69"/>
        <v>11.935726027397262</v>
      </c>
      <c r="J70" s="18">
        <f t="shared" si="70"/>
        <v>45.35575890410959</v>
      </c>
      <c r="K70" s="18">
        <f t="shared" si="71"/>
        <v>50.1300493150685</v>
      </c>
      <c r="L70" s="18">
        <f t="shared" si="72"/>
        <v>17.90358904109589</v>
      </c>
      <c r="M70" s="18">
        <f t="shared" si="73"/>
        <v>68.03363835616439</v>
      </c>
      <c r="N70" s="18">
        <f t="shared" si="74"/>
        <v>83.55008219178083</v>
      </c>
      <c r="O70" s="18">
        <f t="shared" si="75"/>
        <v>29.839315068493153</v>
      </c>
      <c r="P70" s="18">
        <f t="shared" si="76"/>
        <v>113.38939726027398</v>
      </c>
      <c r="Q70" s="18">
        <f t="shared" si="80"/>
        <v>25.950655528767122</v>
      </c>
      <c r="R70" s="18">
        <f t="shared" si="77"/>
        <v>47.74290410958905</v>
      </c>
      <c r="S70" s="18">
        <f t="shared" si="78"/>
        <v>859.2609941589042</v>
      </c>
      <c r="T70" s="167">
        <f t="shared" si="81"/>
        <v>59.678630136986314</v>
      </c>
      <c r="W70" s="17"/>
      <c r="X70" s="18"/>
      <c r="Y70" s="17"/>
      <c r="Z70" s="18"/>
      <c r="AA70" s="18"/>
      <c r="AB70" s="18"/>
      <c r="AC70" s="18"/>
      <c r="AD70" s="18"/>
      <c r="AE70" s="18"/>
    </row>
    <row r="71" spans="1:31" ht="15" hidden="1">
      <c r="A71" s="285">
        <f t="shared" si="51"/>
        <v>0</v>
      </c>
      <c r="B71" s="18">
        <f t="shared" si="51"/>
        <v>158</v>
      </c>
      <c r="C71" s="19">
        <v>30</v>
      </c>
      <c r="D71" s="18">
        <f t="shared" si="52"/>
        <v>558.78864</v>
      </c>
      <c r="E71" s="18">
        <v>0</v>
      </c>
      <c r="F71" s="18">
        <v>0</v>
      </c>
      <c r="G71" s="18">
        <f t="shared" si="79"/>
        <v>0</v>
      </c>
      <c r="H71" s="18">
        <f t="shared" si="68"/>
        <v>33.18</v>
      </c>
      <c r="I71" s="18">
        <f t="shared" si="69"/>
        <v>11.85</v>
      </c>
      <c r="J71" s="18">
        <f t="shared" si="70"/>
        <v>45.03</v>
      </c>
      <c r="K71" s="18">
        <f t="shared" si="71"/>
        <v>49.77</v>
      </c>
      <c r="L71" s="18">
        <f t="shared" si="72"/>
        <v>17.775</v>
      </c>
      <c r="M71" s="18">
        <f t="shared" si="73"/>
        <v>67.545</v>
      </c>
      <c r="N71" s="18">
        <f t="shared" si="74"/>
        <v>82.95</v>
      </c>
      <c r="O71" s="18">
        <f t="shared" si="75"/>
        <v>29.625</v>
      </c>
      <c r="P71" s="18">
        <f t="shared" si="76"/>
        <v>112.575</v>
      </c>
      <c r="Q71" s="18">
        <f t="shared" si="80"/>
        <v>25.764269999999996</v>
      </c>
      <c r="R71" s="18">
        <f t="shared" si="77"/>
        <v>47.4</v>
      </c>
      <c r="S71" s="18">
        <f t="shared" si="78"/>
        <v>857.10291</v>
      </c>
      <c r="T71" s="23">
        <f t="shared" si="81"/>
        <v>59.25</v>
      </c>
      <c r="W71" s="17"/>
      <c r="X71" s="18"/>
      <c r="Y71" s="17"/>
      <c r="Z71" s="18"/>
      <c r="AA71" s="18"/>
      <c r="AB71" s="18"/>
      <c r="AC71" s="18"/>
      <c r="AD71" s="18"/>
      <c r="AE71" s="18"/>
    </row>
    <row r="72" spans="1:31" s="159" customFormat="1" ht="15">
      <c r="A72" s="285" t="str">
        <f t="shared" si="51"/>
        <v>R</v>
      </c>
      <c r="B72" s="18">
        <f t="shared" si="51"/>
        <v>169.59298630136985</v>
      </c>
      <c r="C72" s="151">
        <v>30</v>
      </c>
      <c r="D72" s="18">
        <f t="shared" si="52"/>
        <v>558.78864</v>
      </c>
      <c r="E72" s="18">
        <v>0</v>
      </c>
      <c r="F72" s="18">
        <v>0</v>
      </c>
      <c r="G72" s="18">
        <f t="shared" si="79"/>
        <v>0</v>
      </c>
      <c r="H72" s="18">
        <f t="shared" si="68"/>
        <v>35.614527123287665</v>
      </c>
      <c r="I72" s="18">
        <f t="shared" si="69"/>
        <v>12.719473972602739</v>
      </c>
      <c r="J72" s="18">
        <f t="shared" si="70"/>
        <v>48.3340010958904</v>
      </c>
      <c r="K72" s="18">
        <f t="shared" si="71"/>
        <v>53.42179068493151</v>
      </c>
      <c r="L72" s="18">
        <f t="shared" si="72"/>
        <v>19.079210958904106</v>
      </c>
      <c r="M72" s="18">
        <f t="shared" si="73"/>
        <v>72.50100164383562</v>
      </c>
      <c r="N72" s="18">
        <f t="shared" si="74"/>
        <v>89.03631780821918</v>
      </c>
      <c r="O72" s="18">
        <f t="shared" si="75"/>
        <v>31.79868493150685</v>
      </c>
      <c r="P72" s="18">
        <f t="shared" si="76"/>
        <v>120.83500273972604</v>
      </c>
      <c r="Q72" s="18">
        <f t="shared" si="80"/>
        <v>27.65468031123287</v>
      </c>
      <c r="R72" s="18">
        <f t="shared" si="77"/>
        <v>50.877895890410954</v>
      </c>
      <c r="S72" s="18">
        <f t="shared" si="78"/>
        <v>878.9912216810958</v>
      </c>
      <c r="T72" s="167">
        <f t="shared" si="81"/>
        <v>63.5973698630137</v>
      </c>
      <c r="W72" s="151"/>
      <c r="X72" s="18"/>
      <c r="Y72" s="151"/>
      <c r="Z72" s="18"/>
      <c r="AA72" s="18"/>
      <c r="AB72" s="18"/>
      <c r="AC72" s="18"/>
      <c r="AD72" s="18"/>
      <c r="AE72" s="18"/>
    </row>
    <row r="73" spans="1:31" s="159" customFormat="1" ht="15">
      <c r="A73" s="285" t="str">
        <f t="shared" si="51"/>
        <v>S</v>
      </c>
      <c r="B73" s="18">
        <f t="shared" si="51"/>
        <v>169.59298630136985</v>
      </c>
      <c r="C73" s="151">
        <v>30</v>
      </c>
      <c r="D73" s="18">
        <f t="shared" si="52"/>
        <v>558.78864</v>
      </c>
      <c r="E73" s="18">
        <v>0</v>
      </c>
      <c r="F73" s="18">
        <v>0</v>
      </c>
      <c r="G73" s="18">
        <f aca="true" t="shared" si="82" ref="G73:G78">E73+F73</f>
        <v>0</v>
      </c>
      <c r="H73" s="18">
        <f t="shared" si="68"/>
        <v>35.614527123287665</v>
      </c>
      <c r="I73" s="18">
        <f t="shared" si="69"/>
        <v>12.719473972602739</v>
      </c>
      <c r="J73" s="18">
        <f t="shared" si="70"/>
        <v>48.3340010958904</v>
      </c>
      <c r="K73" s="18">
        <f t="shared" si="71"/>
        <v>53.42179068493151</v>
      </c>
      <c r="L73" s="18">
        <f t="shared" si="72"/>
        <v>19.079210958904106</v>
      </c>
      <c r="M73" s="18">
        <f t="shared" si="73"/>
        <v>72.50100164383562</v>
      </c>
      <c r="N73" s="18">
        <f t="shared" si="74"/>
        <v>89.03631780821918</v>
      </c>
      <c r="O73" s="18">
        <f t="shared" si="75"/>
        <v>31.79868493150685</v>
      </c>
      <c r="P73" s="18">
        <f t="shared" si="76"/>
        <v>120.83500273972604</v>
      </c>
      <c r="Q73" s="18">
        <f t="shared" si="80"/>
        <v>27.65468031123287</v>
      </c>
      <c r="R73" s="18">
        <f t="shared" si="77"/>
        <v>50.877895890410954</v>
      </c>
      <c r="S73" s="18">
        <f t="shared" si="78"/>
        <v>878.9912216810958</v>
      </c>
      <c r="T73" s="167">
        <f t="shared" si="81"/>
        <v>63.5973698630137</v>
      </c>
      <c r="W73" s="151"/>
      <c r="X73" s="18"/>
      <c r="Y73" s="151"/>
      <c r="Z73" s="18"/>
      <c r="AA73" s="18"/>
      <c r="AB73" s="18"/>
      <c r="AC73" s="18"/>
      <c r="AD73" s="18"/>
      <c r="AE73" s="18"/>
    </row>
    <row r="74" spans="1:31" s="159" customFormat="1" ht="15">
      <c r="A74" s="285" t="str">
        <f t="shared" si="51"/>
        <v>X</v>
      </c>
      <c r="B74" s="18">
        <f t="shared" si="51"/>
        <v>159.14301369863014</v>
      </c>
      <c r="C74" s="151">
        <v>30</v>
      </c>
      <c r="D74" s="18">
        <f t="shared" si="52"/>
        <v>558.78864</v>
      </c>
      <c r="E74" s="18">
        <v>0</v>
      </c>
      <c r="F74" s="18">
        <v>0</v>
      </c>
      <c r="G74" s="18">
        <f t="shared" si="82"/>
        <v>0</v>
      </c>
      <c r="H74" s="18">
        <f t="shared" si="68"/>
        <v>33.42003287671233</v>
      </c>
      <c r="I74" s="18">
        <f t="shared" si="69"/>
        <v>11.935726027397262</v>
      </c>
      <c r="J74" s="18">
        <f t="shared" si="70"/>
        <v>45.35575890410959</v>
      </c>
      <c r="K74" s="18">
        <f t="shared" si="71"/>
        <v>50.1300493150685</v>
      </c>
      <c r="L74" s="18">
        <f t="shared" si="72"/>
        <v>17.90358904109589</v>
      </c>
      <c r="M74" s="18">
        <f t="shared" si="73"/>
        <v>68.03363835616439</v>
      </c>
      <c r="N74" s="18">
        <f t="shared" si="74"/>
        <v>83.55008219178083</v>
      </c>
      <c r="O74" s="18">
        <f t="shared" si="75"/>
        <v>29.839315068493153</v>
      </c>
      <c r="P74" s="18">
        <f t="shared" si="76"/>
        <v>113.38939726027398</v>
      </c>
      <c r="Q74" s="18">
        <f>(B74*C74)*0.54355%</f>
        <v>25.950655528767122</v>
      </c>
      <c r="R74" s="18">
        <f t="shared" si="77"/>
        <v>47.74290410958905</v>
      </c>
      <c r="S74" s="18">
        <f t="shared" si="78"/>
        <v>859.2609941589042</v>
      </c>
      <c r="T74" s="167">
        <f>F74+L74+O74+I74</f>
        <v>59.678630136986314</v>
      </c>
      <c r="W74" s="151"/>
      <c r="X74" s="18"/>
      <c r="Y74" s="151"/>
      <c r="Z74" s="18"/>
      <c r="AA74" s="18"/>
      <c r="AB74" s="18"/>
      <c r="AC74" s="18"/>
      <c r="AD74" s="18"/>
      <c r="AE74" s="18"/>
    </row>
    <row r="75" spans="1:31" s="159" customFormat="1" ht="15">
      <c r="A75" s="285" t="str">
        <f t="shared" si="51"/>
        <v>Y</v>
      </c>
      <c r="B75" s="18">
        <f t="shared" si="51"/>
        <v>159.14301369863014</v>
      </c>
      <c r="C75" s="151">
        <v>30</v>
      </c>
      <c r="D75" s="18">
        <f t="shared" si="52"/>
        <v>558.78864</v>
      </c>
      <c r="E75" s="18">
        <v>0</v>
      </c>
      <c r="F75" s="18">
        <v>0</v>
      </c>
      <c r="G75" s="18">
        <f t="shared" si="82"/>
        <v>0</v>
      </c>
      <c r="H75" s="18">
        <f t="shared" si="68"/>
        <v>33.42003287671233</v>
      </c>
      <c r="I75" s="18">
        <f t="shared" si="69"/>
        <v>11.935726027397262</v>
      </c>
      <c r="J75" s="18">
        <f t="shared" si="70"/>
        <v>45.35575890410959</v>
      </c>
      <c r="K75" s="18">
        <f t="shared" si="71"/>
        <v>50.1300493150685</v>
      </c>
      <c r="L75" s="18">
        <f t="shared" si="72"/>
        <v>17.90358904109589</v>
      </c>
      <c r="M75" s="18">
        <f t="shared" si="73"/>
        <v>68.03363835616439</v>
      </c>
      <c r="N75" s="18">
        <f t="shared" si="74"/>
        <v>83.55008219178083</v>
      </c>
      <c r="O75" s="18">
        <f t="shared" si="75"/>
        <v>29.839315068493153</v>
      </c>
      <c r="P75" s="18">
        <f t="shared" si="76"/>
        <v>113.38939726027398</v>
      </c>
      <c r="Q75" s="18">
        <f>(B75*C75)*0.54355%</f>
        <v>25.950655528767122</v>
      </c>
      <c r="R75" s="18">
        <f t="shared" si="77"/>
        <v>47.74290410958905</v>
      </c>
      <c r="S75" s="18">
        <f t="shared" si="78"/>
        <v>859.2609941589042</v>
      </c>
      <c r="T75" s="167">
        <f>F75+L75+O75+I75</f>
        <v>59.678630136986314</v>
      </c>
      <c r="W75" s="151"/>
      <c r="X75" s="18"/>
      <c r="Y75" s="151"/>
      <c r="Z75" s="18"/>
      <c r="AA75" s="18"/>
      <c r="AB75" s="18"/>
      <c r="AC75" s="18"/>
      <c r="AD75" s="18"/>
      <c r="AE75" s="18"/>
    </row>
    <row r="76" spans="1:31" s="159" customFormat="1" ht="15">
      <c r="A76" s="285" t="str">
        <f t="shared" si="51"/>
        <v>Z</v>
      </c>
      <c r="B76" s="18">
        <f t="shared" si="51"/>
        <v>159.14301369863014</v>
      </c>
      <c r="C76" s="151">
        <v>30</v>
      </c>
      <c r="D76" s="18">
        <f t="shared" si="52"/>
        <v>558.78864</v>
      </c>
      <c r="E76" s="18">
        <v>0</v>
      </c>
      <c r="F76" s="18">
        <v>0</v>
      </c>
      <c r="G76" s="18">
        <f t="shared" si="82"/>
        <v>0</v>
      </c>
      <c r="H76" s="18">
        <f t="shared" si="68"/>
        <v>33.42003287671233</v>
      </c>
      <c r="I76" s="18">
        <f t="shared" si="69"/>
        <v>11.935726027397262</v>
      </c>
      <c r="J76" s="18">
        <f t="shared" si="70"/>
        <v>45.35575890410959</v>
      </c>
      <c r="K76" s="18">
        <f t="shared" si="71"/>
        <v>50.1300493150685</v>
      </c>
      <c r="L76" s="18">
        <f t="shared" si="72"/>
        <v>17.90358904109589</v>
      </c>
      <c r="M76" s="18">
        <f t="shared" si="73"/>
        <v>68.03363835616439</v>
      </c>
      <c r="N76" s="18">
        <f t="shared" si="74"/>
        <v>83.55008219178083</v>
      </c>
      <c r="O76" s="18">
        <f t="shared" si="75"/>
        <v>29.839315068493153</v>
      </c>
      <c r="P76" s="18">
        <f t="shared" si="76"/>
        <v>113.38939726027398</v>
      </c>
      <c r="Q76" s="18">
        <f>(B76*C76)*0.54355%</f>
        <v>25.950655528767122</v>
      </c>
      <c r="R76" s="18">
        <f t="shared" si="77"/>
        <v>47.74290410958905</v>
      </c>
      <c r="S76" s="18">
        <f t="shared" si="78"/>
        <v>859.2609941589042</v>
      </c>
      <c r="T76" s="167">
        <f>F76+L76+O76+I76</f>
        <v>59.678630136986314</v>
      </c>
      <c r="W76" s="151"/>
      <c r="X76" s="18"/>
      <c r="Y76" s="151"/>
      <c r="Z76" s="18"/>
      <c r="AA76" s="18"/>
      <c r="AB76" s="18"/>
      <c r="AC76" s="18"/>
      <c r="AD76" s="18"/>
      <c r="AE76" s="18"/>
    </row>
    <row r="77" spans="1:31" s="159" customFormat="1" ht="15">
      <c r="A77" s="285" t="str">
        <f t="shared" si="51"/>
        <v>AB</v>
      </c>
      <c r="B77" s="18">
        <f t="shared" si="51"/>
        <v>159.14301369863014</v>
      </c>
      <c r="C77" s="151">
        <v>30</v>
      </c>
      <c r="D77" s="18">
        <f t="shared" si="52"/>
        <v>558.78864</v>
      </c>
      <c r="E77" s="18">
        <v>0</v>
      </c>
      <c r="F77" s="18">
        <v>0</v>
      </c>
      <c r="G77" s="18">
        <f t="shared" si="82"/>
        <v>0</v>
      </c>
      <c r="H77" s="18">
        <f t="shared" si="68"/>
        <v>33.42003287671233</v>
      </c>
      <c r="I77" s="18">
        <f t="shared" si="69"/>
        <v>11.935726027397262</v>
      </c>
      <c r="J77" s="18">
        <f t="shared" si="70"/>
        <v>45.35575890410959</v>
      </c>
      <c r="K77" s="18">
        <f t="shared" si="71"/>
        <v>50.1300493150685</v>
      </c>
      <c r="L77" s="18">
        <f t="shared" si="72"/>
        <v>17.90358904109589</v>
      </c>
      <c r="M77" s="18">
        <f t="shared" si="73"/>
        <v>68.03363835616439</v>
      </c>
      <c r="N77" s="18">
        <f t="shared" si="74"/>
        <v>83.55008219178083</v>
      </c>
      <c r="O77" s="18">
        <f t="shared" si="75"/>
        <v>29.839315068493153</v>
      </c>
      <c r="P77" s="18">
        <f t="shared" si="76"/>
        <v>113.38939726027398</v>
      </c>
      <c r="Q77" s="18">
        <f>(B77*C77)*0.54355%</f>
        <v>25.950655528767122</v>
      </c>
      <c r="R77" s="18">
        <f t="shared" si="77"/>
        <v>47.74290410958905</v>
      </c>
      <c r="S77" s="18">
        <f t="shared" si="78"/>
        <v>859.2609941589042</v>
      </c>
      <c r="T77" s="255">
        <f>F77+L77+O77+I77</f>
        <v>59.678630136986314</v>
      </c>
      <c r="W77" s="151"/>
      <c r="X77" s="18"/>
      <c r="Y77" s="151"/>
      <c r="Z77" s="18"/>
      <c r="AA77" s="18"/>
      <c r="AB77" s="18"/>
      <c r="AC77" s="18"/>
      <c r="AD77" s="18"/>
      <c r="AE77" s="18"/>
    </row>
    <row r="78" spans="1:31" s="159" customFormat="1" ht="15">
      <c r="A78" s="285" t="str">
        <f t="shared" si="51"/>
        <v>AD</v>
      </c>
      <c r="B78" s="18">
        <f t="shared" si="51"/>
        <v>159.14301369863014</v>
      </c>
      <c r="C78" s="151">
        <v>30</v>
      </c>
      <c r="D78" s="18">
        <f t="shared" si="52"/>
        <v>558.78864</v>
      </c>
      <c r="E78" s="18">
        <v>0</v>
      </c>
      <c r="F78" s="18">
        <v>0</v>
      </c>
      <c r="G78" s="18">
        <f t="shared" si="82"/>
        <v>0</v>
      </c>
      <c r="H78" s="18">
        <f t="shared" si="68"/>
        <v>33.42003287671233</v>
      </c>
      <c r="I78" s="18">
        <f t="shared" si="69"/>
        <v>11.935726027397262</v>
      </c>
      <c r="J78" s="18">
        <f t="shared" si="70"/>
        <v>45.35575890410959</v>
      </c>
      <c r="K78" s="18">
        <f t="shared" si="71"/>
        <v>50.1300493150685</v>
      </c>
      <c r="L78" s="18">
        <f t="shared" si="72"/>
        <v>17.90358904109589</v>
      </c>
      <c r="M78" s="18">
        <f t="shared" si="73"/>
        <v>68.03363835616439</v>
      </c>
      <c r="N78" s="18">
        <f t="shared" si="74"/>
        <v>83.55008219178083</v>
      </c>
      <c r="O78" s="18">
        <f t="shared" si="75"/>
        <v>29.839315068493153</v>
      </c>
      <c r="P78" s="18">
        <f t="shared" si="76"/>
        <v>113.38939726027398</v>
      </c>
      <c r="Q78" s="18">
        <f>(B78*C78)*0.54355%</f>
        <v>25.950655528767122</v>
      </c>
      <c r="R78" s="18">
        <f t="shared" si="77"/>
        <v>47.74290410958905</v>
      </c>
      <c r="S78" s="18">
        <f t="shared" si="78"/>
        <v>859.2609941589042</v>
      </c>
      <c r="T78" s="255">
        <f>F78+L78+O78+I78</f>
        <v>59.678630136986314</v>
      </c>
      <c r="W78" s="151"/>
      <c r="X78" s="18"/>
      <c r="Y78" s="151"/>
      <c r="Z78" s="18"/>
      <c r="AA78" s="18"/>
      <c r="AB78" s="18"/>
      <c r="AC78" s="18"/>
      <c r="AD78" s="18"/>
      <c r="AE78" s="18"/>
    </row>
    <row r="79" spans="1:31" s="159" customFormat="1" ht="15">
      <c r="A79" s="285" t="str">
        <f t="shared" si="51"/>
        <v>AC</v>
      </c>
      <c r="B79" s="18">
        <f t="shared" si="51"/>
        <v>159.14301369863014</v>
      </c>
      <c r="C79" s="151">
        <v>30</v>
      </c>
      <c r="D79" s="18">
        <f t="shared" si="52"/>
        <v>558.78864</v>
      </c>
      <c r="E79" s="18">
        <v>0</v>
      </c>
      <c r="F79" s="18">
        <v>0</v>
      </c>
      <c r="G79" s="18">
        <f t="shared" si="79"/>
        <v>0</v>
      </c>
      <c r="H79" s="18">
        <f t="shared" si="68"/>
        <v>33.42003287671233</v>
      </c>
      <c r="I79" s="18">
        <f t="shared" si="69"/>
        <v>11.935726027397262</v>
      </c>
      <c r="J79" s="18">
        <f t="shared" si="70"/>
        <v>45.35575890410959</v>
      </c>
      <c r="K79" s="18">
        <f t="shared" si="71"/>
        <v>50.1300493150685</v>
      </c>
      <c r="L79" s="18">
        <f t="shared" si="72"/>
        <v>17.90358904109589</v>
      </c>
      <c r="M79" s="18">
        <f t="shared" si="73"/>
        <v>68.03363835616439</v>
      </c>
      <c r="N79" s="18">
        <f t="shared" si="74"/>
        <v>83.55008219178083</v>
      </c>
      <c r="O79" s="18">
        <f t="shared" si="75"/>
        <v>29.839315068493153</v>
      </c>
      <c r="P79" s="18">
        <f t="shared" si="76"/>
        <v>113.38939726027398</v>
      </c>
      <c r="Q79" s="18">
        <f t="shared" si="80"/>
        <v>25.950655528767122</v>
      </c>
      <c r="R79" s="18">
        <f t="shared" si="77"/>
        <v>47.74290410958905</v>
      </c>
      <c r="S79" s="18">
        <f t="shared" si="78"/>
        <v>859.2609941589042</v>
      </c>
      <c r="T79" s="255">
        <f t="shared" si="81"/>
        <v>59.678630136986314</v>
      </c>
      <c r="W79" s="151"/>
      <c r="X79" s="18"/>
      <c r="Y79" s="151"/>
      <c r="Z79" s="18"/>
      <c r="AA79" s="18"/>
      <c r="AB79" s="18"/>
      <c r="AC79" s="18"/>
      <c r="AD79" s="18"/>
      <c r="AE79" s="18"/>
    </row>
    <row r="80" spans="1:31" ht="15">
      <c r="A80" s="20"/>
      <c r="B80" s="21"/>
      <c r="C80" s="22"/>
      <c r="D80" s="18">
        <f aca="true" t="shared" si="83" ref="D80:R80">SUM(D48:D79)</f>
        <v>17881.236480000003</v>
      </c>
      <c r="E80" s="18">
        <f t="shared" si="83"/>
        <v>15.811847840814613</v>
      </c>
      <c r="F80" s="18">
        <f t="shared" si="83"/>
        <v>5.749762851205314</v>
      </c>
      <c r="G80" s="18">
        <f t="shared" si="83"/>
        <v>21.561610692019926</v>
      </c>
      <c r="H80" s="18">
        <f t="shared" si="83"/>
        <v>1202.1877919028134</v>
      </c>
      <c r="I80" s="18">
        <f t="shared" si="83"/>
        <v>429.3527828224333</v>
      </c>
      <c r="J80" s="18">
        <f t="shared" si="83"/>
        <v>1631.5405747252462</v>
      </c>
      <c r="K80" s="18">
        <f t="shared" si="83"/>
        <v>1803.281687854219</v>
      </c>
      <c r="L80" s="18">
        <f t="shared" si="83"/>
        <v>644.0291742336499</v>
      </c>
      <c r="M80" s="18">
        <f t="shared" si="83"/>
        <v>2447.31086208787</v>
      </c>
      <c r="N80" s="18">
        <f t="shared" si="83"/>
        <v>3005.4694797570337</v>
      </c>
      <c r="O80" s="18">
        <f t="shared" si="83"/>
        <v>1073.3819570560838</v>
      </c>
      <c r="P80" s="18">
        <f t="shared" si="83"/>
        <v>4078.851436813118</v>
      </c>
      <c r="Q80" s="18">
        <f t="shared" si="83"/>
        <v>2719.1046083659144</v>
      </c>
      <c r="R80" s="18">
        <f t="shared" si="83"/>
        <v>1717.4111312897332</v>
      </c>
      <c r="S80" s="18">
        <f>SUM(S48:S79)</f>
        <v>30497.0167039739</v>
      </c>
      <c r="T80" s="255"/>
      <c r="W80" s="17"/>
      <c r="X80" s="18"/>
      <c r="Y80" s="17"/>
      <c r="Z80" s="18"/>
      <c r="AA80" s="18"/>
      <c r="AB80" s="18"/>
      <c r="AC80" s="18"/>
      <c r="AD80" s="18"/>
      <c r="AE80" s="18"/>
    </row>
    <row r="81" spans="23:31" ht="15">
      <c r="W81" s="17"/>
      <c r="X81" s="18"/>
      <c r="Y81" s="17"/>
      <c r="Z81" s="18"/>
      <c r="AA81" s="18"/>
      <c r="AB81" s="18"/>
      <c r="AC81" s="18"/>
      <c r="AD81" s="18"/>
      <c r="AE81" s="18"/>
    </row>
    <row r="82" spans="23:31" ht="15">
      <c r="W82" s="17"/>
      <c r="X82" s="18"/>
      <c r="Y82" s="17"/>
      <c r="Z82" s="18"/>
      <c r="AA82" s="18"/>
      <c r="AB82" s="18"/>
      <c r="AC82" s="18"/>
      <c r="AD82" s="18"/>
      <c r="AE82" s="18"/>
    </row>
    <row r="83" spans="23:31" ht="15">
      <c r="W83" s="17"/>
      <c r="X83" s="18"/>
      <c r="Y83" s="17"/>
      <c r="Z83" s="18"/>
      <c r="AA83" s="18"/>
      <c r="AB83" s="18"/>
      <c r="AC83" s="18"/>
      <c r="AD83" s="18"/>
      <c r="AE83" s="18"/>
    </row>
    <row r="84" spans="19:31" ht="15">
      <c r="S84" s="23">
        <f>S39+S80+AE39</f>
        <v>100678.62481198352</v>
      </c>
      <c r="W84" s="17"/>
      <c r="X84" s="18"/>
      <c r="Y84" s="17"/>
      <c r="Z84" s="18"/>
      <c r="AA84" s="18"/>
      <c r="AB84" s="18"/>
      <c r="AC84" s="18"/>
      <c r="AD84" s="18"/>
      <c r="AE84" s="18"/>
    </row>
    <row r="85" spans="19:31" ht="15">
      <c r="S85" s="23">
        <f>S84/4</f>
        <v>25169.65620299588</v>
      </c>
      <c r="W85" s="17"/>
      <c r="X85" s="18"/>
      <c r="Y85" s="17"/>
      <c r="Z85" s="18"/>
      <c r="AA85" s="18"/>
      <c r="AB85" s="18"/>
      <c r="AC85" s="18"/>
      <c r="AD85" s="18"/>
      <c r="AE85" s="18"/>
    </row>
    <row r="87" spans="23:31" ht="15">
      <c r="W87" s="17"/>
      <c r="X87" s="17"/>
      <c r="Y87" s="17"/>
      <c r="Z87" s="18"/>
      <c r="AA87" s="18"/>
      <c r="AB87" s="18"/>
      <c r="AC87" s="18"/>
      <c r="AD87" s="18"/>
      <c r="AE87" s="18"/>
    </row>
    <row r="88" spans="23:31" ht="15">
      <c r="W88" s="17"/>
      <c r="X88" s="17"/>
      <c r="Y88" s="17"/>
      <c r="Z88" s="18"/>
      <c r="AA88" s="18"/>
      <c r="AB88" s="18"/>
      <c r="AC88" s="18"/>
      <c r="AD88" s="18"/>
      <c r="AE88" s="18"/>
    </row>
    <row r="89" spans="27:29" ht="15">
      <c r="AA89" s="23"/>
      <c r="AB89" s="23"/>
      <c r="AC89" s="23"/>
    </row>
    <row r="90" spans="27:29" ht="15">
      <c r="AA90" s="23"/>
      <c r="AB90" s="23"/>
      <c r="AC90" s="23"/>
    </row>
  </sheetData>
  <sheetProtection/>
  <mergeCells count="24">
    <mergeCell ref="A44:A46"/>
    <mergeCell ref="D44:M44"/>
    <mergeCell ref="N44:P45"/>
    <mergeCell ref="Q44:Q45"/>
    <mergeCell ref="A3:A5"/>
    <mergeCell ref="D3:M3"/>
    <mergeCell ref="N3:P4"/>
    <mergeCell ref="Q3:Q4"/>
    <mergeCell ref="W3:W5"/>
    <mergeCell ref="Z3:Z4"/>
    <mergeCell ref="E4:G4"/>
    <mergeCell ref="S44:S45"/>
    <mergeCell ref="K4:M4"/>
    <mergeCell ref="K45:M45"/>
    <mergeCell ref="AD3:AD4"/>
    <mergeCell ref="AE3:AE4"/>
    <mergeCell ref="AC3:AC4"/>
    <mergeCell ref="AA3:AB4"/>
    <mergeCell ref="S3:S4"/>
    <mergeCell ref="E45:G45"/>
    <mergeCell ref="H45:J45"/>
    <mergeCell ref="R3:R4"/>
    <mergeCell ref="R44:R45"/>
    <mergeCell ref="H4:J4"/>
  </mergeCells>
  <printOptions/>
  <pageMargins left="0.7" right="0.7" top="0.75" bottom="0.75" header="0.3" footer="0.3"/>
  <pageSetup fitToHeight="0" fitToWidth="1" horizontalDpi="600" verticalDpi="600" orientation="portrait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AE39"/>
  <sheetViews>
    <sheetView view="pageBreakPreview" zoomScale="60" zoomScalePageLayoutView="0" workbookViewId="0" topLeftCell="A1">
      <pane xSplit="2" topLeftCell="J1" activePane="topRight" state="frozen"/>
      <selection pane="topLeft" activeCell="A4" sqref="A4"/>
      <selection pane="topRight" activeCell="Q25" sqref="Q25"/>
    </sheetView>
  </sheetViews>
  <sheetFormatPr defaultColWidth="11.421875" defaultRowHeight="15"/>
  <cols>
    <col min="1" max="1" width="7.57421875" style="122" customWidth="1"/>
    <col min="2" max="2" width="38.57421875" style="0" customWidth="1"/>
    <col min="3" max="3" width="16.57421875" style="0" customWidth="1"/>
    <col min="4" max="4" width="13.00390625" style="0" customWidth="1"/>
    <col min="5" max="5" width="20.421875" style="0" customWidth="1"/>
    <col min="6" max="6" width="24.7109375" style="123" customWidth="1"/>
    <col min="7" max="7" width="13.00390625" style="123" customWidth="1"/>
    <col min="8" max="8" width="13.00390625" style="0" customWidth="1"/>
    <col min="9" max="9" width="15.57421875" style="0" customWidth="1"/>
    <col min="10" max="10" width="17.28125" style="0" customWidth="1"/>
    <col min="11" max="11" width="14.421875" style="0" customWidth="1"/>
    <col min="12" max="12" width="14.8515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5.8515625" style="0" customWidth="1"/>
    <col min="17" max="17" width="20.57421875" style="0" customWidth="1"/>
    <col min="18" max="21" width="13.00390625" style="0" customWidth="1"/>
    <col min="22" max="22" width="19.8515625" style="0" bestFit="1" customWidth="1"/>
    <col min="23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149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14</v>
      </c>
      <c r="J7" s="38" t="e">
        <f>G7*I7</f>
        <v>#REF!</v>
      </c>
      <c r="K7" s="38" t="e">
        <f aca="true" t="shared" si="0" ref="K7:K12">J7*0.1</f>
        <v>#REF!</v>
      </c>
      <c r="L7" s="38" t="e">
        <f>J7*0.1</f>
        <v>#REF!</v>
      </c>
      <c r="M7" s="38" t="e">
        <f>J7*0.15</f>
        <v>#REF!</v>
      </c>
      <c r="N7" s="38">
        <v>261</v>
      </c>
      <c r="O7" s="38" t="e">
        <f>SUM(J7:N7)</f>
        <v>#REF!</v>
      </c>
      <c r="P7" s="31" t="e">
        <f>'calculo ISR Febrero'!O46-'calculo ISR Febrero'!O34</f>
        <v>#REF!</v>
      </c>
      <c r="Q7" s="31" t="e">
        <f>'calculo ISR Febrero'!P46-'calculo ISR Febrero'!P34</f>
        <v>#REF!</v>
      </c>
      <c r="R7" s="31">
        <v>0</v>
      </c>
      <c r="S7" s="31" t="e">
        <f aca="true" t="shared" si="1" ref="S7:S13">P7-Q7</f>
        <v>#REF!</v>
      </c>
      <c r="T7" s="31"/>
      <c r="U7" s="31" t="e">
        <f>R7+S7+T7</f>
        <v>#REF!</v>
      </c>
      <c r="V7" s="31" t="e">
        <f aca="true" t="shared" si="2" ref="V7:V13">O7-U7</f>
        <v>#REF!</v>
      </c>
      <c r="W7" s="31"/>
      <c r="X7" s="31" t="e">
        <f aca="true" t="shared" si="3" ref="X7:X13">V7-W7</f>
        <v>#REF!</v>
      </c>
      <c r="Y7" s="104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14</v>
      </c>
      <c r="J8" s="38" t="e">
        <f aca="true" t="shared" si="4" ref="J8:J13">G8*I8</f>
        <v>#REF!</v>
      </c>
      <c r="K8" s="38" t="e">
        <f t="shared" si="0"/>
        <v>#REF!</v>
      </c>
      <c r="L8" s="38" t="e">
        <f aca="true" t="shared" si="5" ref="L8:L13">J8*0.1</f>
        <v>#REF!</v>
      </c>
      <c r="M8" s="38" t="e">
        <f aca="true" t="shared" si="6" ref="M8:M13">J8*0.15</f>
        <v>#REF!</v>
      </c>
      <c r="N8" s="38">
        <v>261</v>
      </c>
      <c r="O8" s="38" t="e">
        <f aca="true" t="shared" si="7" ref="O8:O13">SUM(J8:N8)</f>
        <v>#REF!</v>
      </c>
      <c r="P8" s="31" t="e">
        <f>'calculo ISR Febrero'!O47-'calculo ISR Febrero'!O35</f>
        <v>#REF!</v>
      </c>
      <c r="Q8" s="31" t="e">
        <f>'calculo ISR Febrero'!P47-'calculo ISR Febrero'!P35</f>
        <v>#REF!</v>
      </c>
      <c r="R8" s="31">
        <v>0</v>
      </c>
      <c r="S8" s="31" t="e">
        <f t="shared" si="1"/>
        <v>#REF!</v>
      </c>
      <c r="T8" s="31"/>
      <c r="U8" s="31" t="e">
        <f aca="true" t="shared" si="8" ref="U8:U13">R8+S8+T8</f>
        <v>#REF!</v>
      </c>
      <c r="V8" s="31" t="e">
        <f t="shared" si="2"/>
        <v>#REF!</v>
      </c>
      <c r="W8" s="31"/>
      <c r="X8" s="31" t="e">
        <f t="shared" si="3"/>
        <v>#REF!</v>
      </c>
      <c r="Y8" s="104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14</v>
      </c>
      <c r="J9" s="38" t="e">
        <f t="shared" si="4"/>
        <v>#REF!</v>
      </c>
      <c r="K9" s="38" t="e">
        <f t="shared" si="0"/>
        <v>#REF!</v>
      </c>
      <c r="L9" s="38" t="e">
        <f t="shared" si="5"/>
        <v>#REF!</v>
      </c>
      <c r="M9" s="38" t="e">
        <f t="shared" si="6"/>
        <v>#REF!</v>
      </c>
      <c r="N9" s="38">
        <v>261</v>
      </c>
      <c r="O9" s="38" t="e">
        <f t="shared" si="7"/>
        <v>#REF!</v>
      </c>
      <c r="P9" s="31" t="e">
        <f>'calculo ISR Febrero'!O48-'calculo ISR Febrero'!O36</f>
        <v>#REF!</v>
      </c>
      <c r="Q9" s="31" t="e">
        <f>'calculo ISR Febrero'!P48-'calculo ISR Febrero'!P36</f>
        <v>#REF!</v>
      </c>
      <c r="R9" s="31">
        <v>0</v>
      </c>
      <c r="S9" s="31" t="e">
        <f t="shared" si="1"/>
        <v>#REF!</v>
      </c>
      <c r="T9" s="31"/>
      <c r="U9" s="31" t="e">
        <f t="shared" si="8"/>
        <v>#REF!</v>
      </c>
      <c r="V9" s="31" t="e">
        <f t="shared" si="2"/>
        <v>#REF!</v>
      </c>
      <c r="W9" s="31"/>
      <c r="X9" s="31" t="e">
        <f t="shared" si="3"/>
        <v>#REF!</v>
      </c>
      <c r="Y9" s="104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14</v>
      </c>
      <c r="J10" s="38" t="e">
        <f t="shared" si="4"/>
        <v>#REF!</v>
      </c>
      <c r="K10" s="38" t="e">
        <f t="shared" si="0"/>
        <v>#REF!</v>
      </c>
      <c r="L10" s="38" t="e">
        <f t="shared" si="5"/>
        <v>#REF!</v>
      </c>
      <c r="M10" s="38" t="e">
        <f t="shared" si="6"/>
        <v>#REF!</v>
      </c>
      <c r="N10" s="38">
        <v>261</v>
      </c>
      <c r="O10" s="38" t="e">
        <f t="shared" si="7"/>
        <v>#REF!</v>
      </c>
      <c r="P10" s="31" t="e">
        <f>'calculo ISR Febrero'!O49-'calculo ISR Febrero'!O37</f>
        <v>#REF!</v>
      </c>
      <c r="Q10" s="31" t="e">
        <f>'calculo ISR Febrero'!P49-'calculo ISR Febrero'!P37</f>
        <v>#REF!</v>
      </c>
      <c r="R10" s="31">
        <v>0</v>
      </c>
      <c r="S10" s="31" t="e">
        <f t="shared" si="1"/>
        <v>#REF!</v>
      </c>
      <c r="T10" s="31"/>
      <c r="U10" s="31" t="e">
        <f t="shared" si="8"/>
        <v>#REF!</v>
      </c>
      <c r="V10" s="31" t="e">
        <f t="shared" si="2"/>
        <v>#REF!</v>
      </c>
      <c r="W10" s="31"/>
      <c r="X10" s="31" t="e">
        <f t="shared" si="3"/>
        <v>#REF!</v>
      </c>
      <c r="Y10" s="105">
        <v>2714169867</v>
      </c>
      <c r="Z10" s="40"/>
      <c r="AA10" s="56"/>
      <c r="AB10" s="25"/>
      <c r="AC10" s="25"/>
      <c r="AD10" s="25"/>
      <c r="AE10" s="25"/>
    </row>
    <row r="11" spans="1:31" ht="15">
      <c r="A11" s="32" t="s">
        <v>57</v>
      </c>
      <c r="B11" s="28" t="s">
        <v>84</v>
      </c>
      <c r="C11" s="63">
        <v>71119500743</v>
      </c>
      <c r="D11" s="30"/>
      <c r="E11" s="36" t="s">
        <v>88</v>
      </c>
      <c r="F11" s="36" t="s">
        <v>89</v>
      </c>
      <c r="G11" s="31" t="e">
        <f>#REF!</f>
        <v>#REF!</v>
      </c>
      <c r="H11" s="31" t="e">
        <f>#REF!</f>
        <v>#REF!</v>
      </c>
      <c r="I11" s="55">
        <v>14</v>
      </c>
      <c r="J11" s="38" t="e">
        <f t="shared" si="4"/>
        <v>#REF!</v>
      </c>
      <c r="K11" s="38" t="e">
        <f t="shared" si="0"/>
        <v>#REF!</v>
      </c>
      <c r="L11" s="38" t="e">
        <f t="shared" si="5"/>
        <v>#REF!</v>
      </c>
      <c r="M11" s="38" t="e">
        <f t="shared" si="6"/>
        <v>#REF!</v>
      </c>
      <c r="N11" s="38">
        <v>261</v>
      </c>
      <c r="O11" s="38" t="e">
        <f t="shared" si="7"/>
        <v>#REF!</v>
      </c>
      <c r="P11" s="31" t="e">
        <f>'calculo ISR Febrero'!O50-'calculo ISR Febrero'!O38</f>
        <v>#REF!</v>
      </c>
      <c r="Q11" s="31" t="e">
        <f>'calculo ISR Febrero'!P50-'calculo ISR Febrero'!P38</f>
        <v>#REF!</v>
      </c>
      <c r="R11" s="31">
        <v>0</v>
      </c>
      <c r="S11" s="31" t="e">
        <f t="shared" si="1"/>
        <v>#REF!</v>
      </c>
      <c r="T11" s="31"/>
      <c r="U11" s="31" t="e">
        <f t="shared" si="8"/>
        <v>#REF!</v>
      </c>
      <c r="V11" s="31" t="e">
        <f t="shared" si="2"/>
        <v>#REF!</v>
      </c>
      <c r="W11" s="31"/>
      <c r="X11" s="31" t="e">
        <f t="shared" si="3"/>
        <v>#REF!</v>
      </c>
      <c r="Y11" s="106">
        <v>2758909075</v>
      </c>
      <c r="Z11" s="40"/>
      <c r="AA11" s="25"/>
      <c r="AB11" s="25"/>
      <c r="AC11" s="25"/>
      <c r="AD11" s="25"/>
      <c r="AE11" s="25"/>
    </row>
    <row r="12" spans="1:31" ht="15">
      <c r="A12" s="32" t="s">
        <v>57</v>
      </c>
      <c r="B12" s="28" t="s">
        <v>92</v>
      </c>
      <c r="C12" s="63">
        <v>71068425785</v>
      </c>
      <c r="D12" s="30"/>
      <c r="E12" s="36" t="s">
        <v>95</v>
      </c>
      <c r="F12" s="36" t="s">
        <v>94</v>
      </c>
      <c r="G12" s="31" t="e">
        <f>#REF!</f>
        <v>#REF!</v>
      </c>
      <c r="H12" s="31" t="e">
        <f>#REF!</f>
        <v>#REF!</v>
      </c>
      <c r="I12" s="55">
        <v>14</v>
      </c>
      <c r="J12" s="38" t="e">
        <f t="shared" si="4"/>
        <v>#REF!</v>
      </c>
      <c r="K12" s="38" t="e">
        <f t="shared" si="0"/>
        <v>#REF!</v>
      </c>
      <c r="L12" s="38" t="e">
        <f t="shared" si="5"/>
        <v>#REF!</v>
      </c>
      <c r="M12" s="38" t="e">
        <f t="shared" si="6"/>
        <v>#REF!</v>
      </c>
      <c r="N12" s="38">
        <v>261</v>
      </c>
      <c r="O12" s="38" t="e">
        <f t="shared" si="7"/>
        <v>#REF!</v>
      </c>
      <c r="P12" s="31" t="e">
        <f>'calculo ISR Febrero'!O51-'calculo ISR Febrero'!O39</f>
        <v>#REF!</v>
      </c>
      <c r="Q12" s="31" t="e">
        <f>'calculo ISR Febrero'!P51-'calculo ISR Febrero'!P39</f>
        <v>#REF!</v>
      </c>
      <c r="R12" s="31">
        <v>0</v>
      </c>
      <c r="S12" s="31" t="e">
        <f t="shared" si="1"/>
        <v>#REF!</v>
      </c>
      <c r="T12" s="31"/>
      <c r="U12" s="31" t="e">
        <f t="shared" si="8"/>
        <v>#REF!</v>
      </c>
      <c r="V12" s="31" t="e">
        <f t="shared" si="2"/>
        <v>#REF!</v>
      </c>
      <c r="W12" s="31"/>
      <c r="X12" s="31" t="e">
        <f t="shared" si="3"/>
        <v>#REF!</v>
      </c>
      <c r="Y12" s="106">
        <v>2783684466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87</v>
      </c>
      <c r="C13" s="29">
        <v>71098933956</v>
      </c>
      <c r="D13" s="30" t="s">
        <v>59</v>
      </c>
      <c r="E13" s="36" t="s">
        <v>85</v>
      </c>
      <c r="F13" s="36" t="s">
        <v>86</v>
      </c>
      <c r="G13" s="31" t="e">
        <f>#REF!</f>
        <v>#REF!</v>
      </c>
      <c r="H13" s="31" t="e">
        <f>#REF!</f>
        <v>#REF!</v>
      </c>
      <c r="I13" s="55">
        <v>14</v>
      </c>
      <c r="J13" s="38" t="e">
        <f t="shared" si="4"/>
        <v>#REF!</v>
      </c>
      <c r="K13" s="38" t="e">
        <f>J13*0.05</f>
        <v>#REF!</v>
      </c>
      <c r="L13" s="38" t="e">
        <f t="shared" si="5"/>
        <v>#REF!</v>
      </c>
      <c r="M13" s="38" t="e">
        <f t="shared" si="6"/>
        <v>#REF!</v>
      </c>
      <c r="N13" s="38">
        <v>261</v>
      </c>
      <c r="O13" s="38" t="e">
        <f t="shared" si="7"/>
        <v>#REF!</v>
      </c>
      <c r="P13" s="31" t="e">
        <f>'calculo ISR Febrero'!O52-'calculo ISR Febrero'!O40</f>
        <v>#REF!</v>
      </c>
      <c r="Q13" s="31" t="e">
        <f>'calculo ISR Febrero'!P52-'calculo ISR Febrero'!P40</f>
        <v>#REF!</v>
      </c>
      <c r="R13" s="31">
        <v>0</v>
      </c>
      <c r="S13" s="31" t="e">
        <f t="shared" si="1"/>
        <v>#REF!</v>
      </c>
      <c r="T13" s="31"/>
      <c r="U13" s="31" t="e">
        <f t="shared" si="8"/>
        <v>#REF!</v>
      </c>
      <c r="V13" s="31" t="e">
        <f t="shared" si="2"/>
        <v>#REF!</v>
      </c>
      <c r="W13" s="31"/>
      <c r="X13" s="31" t="e">
        <f t="shared" si="3"/>
        <v>#REF!</v>
      </c>
      <c r="Y13" s="106">
        <v>2710232416</v>
      </c>
      <c r="Z13" s="40"/>
      <c r="AA13" s="25"/>
      <c r="AB13" s="25"/>
      <c r="AC13" s="25"/>
      <c r="AD13" s="25"/>
      <c r="AE13" s="25"/>
    </row>
    <row r="14" spans="1:25" ht="15">
      <c r="A14" s="27"/>
      <c r="B14" s="25"/>
      <c r="C14" s="25"/>
      <c r="D14" s="25"/>
      <c r="E14" s="37"/>
      <c r="F14" s="37"/>
      <c r="G14" s="25"/>
      <c r="H14" s="49"/>
      <c r="I14" s="122"/>
      <c r="J14" s="41" t="e">
        <f aca="true" t="shared" si="9" ref="J14:X14">SUM(J7:J13)</f>
        <v>#REF!</v>
      </c>
      <c r="K14" s="41" t="e">
        <f t="shared" si="9"/>
        <v>#REF!</v>
      </c>
      <c r="L14" s="41" t="e">
        <f t="shared" si="9"/>
        <v>#REF!</v>
      </c>
      <c r="M14" s="41" t="e">
        <f t="shared" si="9"/>
        <v>#REF!</v>
      </c>
      <c r="N14" s="41">
        <f t="shared" si="9"/>
        <v>1827</v>
      </c>
      <c r="O14" s="41" t="e">
        <f t="shared" si="9"/>
        <v>#REF!</v>
      </c>
      <c r="P14" s="41" t="e">
        <f t="shared" si="9"/>
        <v>#REF!</v>
      </c>
      <c r="Q14" s="41" t="e">
        <f t="shared" si="9"/>
        <v>#REF!</v>
      </c>
      <c r="R14" s="41">
        <f t="shared" si="9"/>
        <v>0</v>
      </c>
      <c r="S14" s="41" t="e">
        <f t="shared" si="9"/>
        <v>#REF!</v>
      </c>
      <c r="T14" s="41">
        <f t="shared" si="9"/>
        <v>0</v>
      </c>
      <c r="U14" s="41" t="e">
        <f t="shared" si="9"/>
        <v>#REF!</v>
      </c>
      <c r="V14" s="41" t="e">
        <f t="shared" si="9"/>
        <v>#REF!</v>
      </c>
      <c r="W14" s="41">
        <f t="shared" si="9"/>
        <v>0</v>
      </c>
      <c r="X14" s="41" t="e">
        <f t="shared" si="9"/>
        <v>#REF!</v>
      </c>
      <c r="Y14" s="25"/>
    </row>
    <row r="15" spans="9:23" ht="25.5" customHeight="1">
      <c r="I15" s="122"/>
      <c r="W15" s="62"/>
    </row>
    <row r="16" spans="3:24" ht="15">
      <c r="C16" s="339" t="s">
        <v>40</v>
      </c>
      <c r="D16" s="339"/>
      <c r="E16" s="339"/>
      <c r="F16" s="339"/>
      <c r="G16" s="339"/>
      <c r="H16" s="331" t="s">
        <v>44</v>
      </c>
      <c r="I16" s="332" t="s">
        <v>2</v>
      </c>
      <c r="J16" s="333"/>
      <c r="K16" s="333"/>
      <c r="L16" s="333"/>
      <c r="M16" s="334"/>
      <c r="N16" s="341" t="s">
        <v>50</v>
      </c>
      <c r="O16" s="33"/>
      <c r="P16" s="341" t="s">
        <v>51</v>
      </c>
      <c r="U16">
        <v>73.78</v>
      </c>
      <c r="W16" s="62" t="s">
        <v>97</v>
      </c>
      <c r="X16" s="40"/>
    </row>
    <row r="17" spans="3:23" ht="22.5">
      <c r="C17" s="33" t="s">
        <v>41</v>
      </c>
      <c r="D17" s="34" t="s">
        <v>52</v>
      </c>
      <c r="E17" s="34" t="s">
        <v>42</v>
      </c>
      <c r="F17" s="45" t="s">
        <v>43</v>
      </c>
      <c r="G17" s="34" t="s">
        <v>61</v>
      </c>
      <c r="H17" s="340"/>
      <c r="I17" s="34" t="s">
        <v>45</v>
      </c>
      <c r="J17" s="34" t="s">
        <v>46</v>
      </c>
      <c r="K17" s="34" t="s">
        <v>47</v>
      </c>
      <c r="L17" s="34" t="s">
        <v>48</v>
      </c>
      <c r="M17" s="34" t="s">
        <v>49</v>
      </c>
      <c r="N17" s="342"/>
      <c r="O17" s="33"/>
      <c r="P17" s="342"/>
      <c r="U17" s="40"/>
      <c r="W17" s="62"/>
    </row>
    <row r="18" spans="2:24" ht="15">
      <c r="B18" t="s">
        <v>80</v>
      </c>
      <c r="C18" s="43" t="e">
        <f>J14</f>
        <v>#REF!</v>
      </c>
      <c r="D18" s="43" t="e">
        <f>K14</f>
        <v>#REF!</v>
      </c>
      <c r="E18" s="43" t="e">
        <f>L14</f>
        <v>#REF!</v>
      </c>
      <c r="F18" s="43" t="e">
        <f>M14</f>
        <v>#REF!</v>
      </c>
      <c r="G18" s="46">
        <f>N14</f>
        <v>1827</v>
      </c>
      <c r="H18" s="43" t="e">
        <f aca="true" t="shared" si="10" ref="H18:N18">O14</f>
        <v>#REF!</v>
      </c>
      <c r="I18" s="43" t="e">
        <f t="shared" si="10"/>
        <v>#REF!</v>
      </c>
      <c r="J18" s="43" t="e">
        <f t="shared" si="10"/>
        <v>#REF!</v>
      </c>
      <c r="K18" s="43">
        <f t="shared" si="10"/>
        <v>0</v>
      </c>
      <c r="L18" s="43" t="e">
        <f t="shared" si="10"/>
        <v>#REF!</v>
      </c>
      <c r="M18" s="43">
        <f t="shared" si="10"/>
        <v>0</v>
      </c>
      <c r="N18" s="43" t="e">
        <f t="shared" si="10"/>
        <v>#REF!</v>
      </c>
      <c r="O18" s="43"/>
      <c r="P18" s="43" t="e">
        <f>V14</f>
        <v>#REF!</v>
      </c>
      <c r="V18" s="40"/>
      <c r="W18" s="40"/>
      <c r="X18" s="40"/>
    </row>
    <row r="19" spans="3:23" ht="15">
      <c r="C19" s="40"/>
      <c r="D19" s="40"/>
      <c r="E19" s="40"/>
      <c r="F19" s="40"/>
      <c r="H19" s="40"/>
      <c r="I19" s="40"/>
      <c r="J19" s="40"/>
      <c r="K19" s="40"/>
      <c r="L19" s="40"/>
      <c r="M19" s="40"/>
      <c r="N19" s="40"/>
      <c r="O19" s="40"/>
      <c r="P19" s="40"/>
      <c r="U19" s="40"/>
      <c r="V19" t="s">
        <v>151</v>
      </c>
      <c r="W19" s="127">
        <v>21721.98</v>
      </c>
    </row>
    <row r="20" spans="3:24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  <c r="U20" s="48"/>
      <c r="V20" s="40"/>
      <c r="W20" s="40"/>
      <c r="X20" s="40"/>
    </row>
    <row r="21" spans="3:16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3:16" ht="15">
      <c r="C22" s="40" t="e">
        <f>SUM(C18:C21)</f>
        <v>#REF!</v>
      </c>
      <c r="D22" s="40" t="e">
        <f>SUM(D18:D21)</f>
        <v>#REF!</v>
      </c>
      <c r="E22" s="40" t="e">
        <f>SUM(E18:E21)</f>
        <v>#REF!</v>
      </c>
      <c r="F22" s="40" t="e">
        <f>SUM(F18:F21)</f>
        <v>#REF!</v>
      </c>
      <c r="H22" s="40" t="e">
        <f aca="true" t="shared" si="11" ref="H22:N22">SUM(H18:H21)</f>
        <v>#REF!</v>
      </c>
      <c r="I22" s="40" t="e">
        <f t="shared" si="11"/>
        <v>#REF!</v>
      </c>
      <c r="J22" s="40" t="e">
        <f t="shared" si="11"/>
        <v>#REF!</v>
      </c>
      <c r="K22" s="40">
        <f t="shared" si="11"/>
        <v>0</v>
      </c>
      <c r="L22" s="40" t="e">
        <f t="shared" si="11"/>
        <v>#REF!</v>
      </c>
      <c r="M22" s="40">
        <f t="shared" si="11"/>
        <v>0</v>
      </c>
      <c r="N22" s="40" t="e">
        <f t="shared" si="11"/>
        <v>#REF!</v>
      </c>
      <c r="O22" s="40"/>
      <c r="P22" s="40"/>
    </row>
    <row r="23" spans="3:24" ht="15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V23" s="40"/>
      <c r="W23" s="40"/>
      <c r="X23" s="40"/>
    </row>
    <row r="24" spans="7:24" ht="15">
      <c r="G24" s="344" t="s">
        <v>141</v>
      </c>
      <c r="H24" s="345"/>
      <c r="I24" s="61" t="s">
        <v>57</v>
      </c>
      <c r="J24" s="61" t="s">
        <v>8</v>
      </c>
      <c r="V24" s="40"/>
      <c r="W24" s="40"/>
      <c r="X24" s="40"/>
    </row>
    <row r="25" spans="7:25" ht="15">
      <c r="G25" s="335" t="s">
        <v>53</v>
      </c>
      <c r="H25" s="335"/>
      <c r="I25" s="40" t="e">
        <f>H18+K18-L18</f>
        <v>#REF!</v>
      </c>
      <c r="J25" s="40" t="e">
        <f>H22+K22-L22</f>
        <v>#REF!</v>
      </c>
      <c r="K25" s="40"/>
      <c r="L25" s="40"/>
      <c r="Y25" s="40"/>
    </row>
    <row r="26" spans="7:12" ht="15">
      <c r="G26" s="335" t="s">
        <v>54</v>
      </c>
      <c r="H26" s="335"/>
      <c r="I26" s="40" t="e">
        <f>I25*0.06</f>
        <v>#REF!</v>
      </c>
      <c r="J26" s="40" t="e">
        <f>J25*0.06</f>
        <v>#REF!</v>
      </c>
      <c r="K26" s="40"/>
      <c r="L26" s="40"/>
    </row>
    <row r="27" spans="7:17" ht="15">
      <c r="G27" s="335" t="s">
        <v>55</v>
      </c>
      <c r="H27" s="335"/>
      <c r="I27" s="40" t="e">
        <f>H18*0.02</f>
        <v>#REF!</v>
      </c>
      <c r="J27" s="40" t="e">
        <f>H22*0.02</f>
        <v>#REF!</v>
      </c>
      <c r="K27" s="40"/>
      <c r="L27" s="40"/>
      <c r="Q27" s="48"/>
    </row>
    <row r="28" spans="7:12" ht="15.75" thickBot="1">
      <c r="G28" s="335" t="s">
        <v>36</v>
      </c>
      <c r="H28" s="335"/>
      <c r="I28" s="44">
        <f>'COP TUXTLA'!S85</f>
        <v>25169.65620299588</v>
      </c>
      <c r="J28" s="44">
        <f>I28</f>
        <v>25169.65620299588</v>
      </c>
      <c r="K28" s="43"/>
      <c r="L28" s="43"/>
    </row>
    <row r="29" spans="7:12" ht="15">
      <c r="G29" s="335" t="s">
        <v>30</v>
      </c>
      <c r="H29" s="335"/>
      <c r="I29" s="40" t="e">
        <f>SUM(I25:I28)</f>
        <v>#REF!</v>
      </c>
      <c r="J29" s="40" t="e">
        <f>SUM(J25:J28)</f>
        <v>#REF!</v>
      </c>
      <c r="K29" s="54"/>
      <c r="L29" s="54"/>
    </row>
    <row r="30" spans="7:12" ht="15.75" thickBot="1">
      <c r="G30" s="335" t="s">
        <v>62</v>
      </c>
      <c r="H30" s="335"/>
      <c r="I30" s="42" t="e">
        <f>I29*0.16</f>
        <v>#REF!</v>
      </c>
      <c r="J30" s="42" t="e">
        <f>J29*0.16</f>
        <v>#REF!</v>
      </c>
      <c r="K30" s="54"/>
      <c r="L30" s="54"/>
    </row>
    <row r="31" spans="7:12" ht="15">
      <c r="G31" s="335" t="s">
        <v>8</v>
      </c>
      <c r="H31" s="335"/>
      <c r="I31" s="40" t="e">
        <f>I29+I30</f>
        <v>#REF!</v>
      </c>
      <c r="J31" s="40" t="e">
        <f>J29+J30</f>
        <v>#REF!</v>
      </c>
      <c r="K31" s="54"/>
      <c r="L31" s="54"/>
    </row>
    <row r="32" ht="15">
      <c r="J32" s="40"/>
    </row>
    <row r="33" ht="15">
      <c r="J33" s="40" t="e">
        <f>J31+J32</f>
        <v>#REF!</v>
      </c>
    </row>
    <row r="35" spans="7:11" ht="15">
      <c r="G35" s="52"/>
      <c r="H35" s="53"/>
      <c r="I35" s="53"/>
      <c r="J35" s="53"/>
      <c r="K35" s="53"/>
    </row>
    <row r="37" ht="15">
      <c r="M37" s="40"/>
    </row>
    <row r="38" ht="15">
      <c r="M38" s="40"/>
    </row>
    <row r="39" ht="15">
      <c r="M39" s="40"/>
    </row>
  </sheetData>
  <sheetProtection/>
  <mergeCells count="31">
    <mergeCell ref="G29:H29"/>
    <mergeCell ref="G30:H30"/>
    <mergeCell ref="G31:H31"/>
    <mergeCell ref="G24:H24"/>
    <mergeCell ref="G25:H25"/>
    <mergeCell ref="G26:H26"/>
    <mergeCell ref="G27:H27"/>
    <mergeCell ref="G28:H28"/>
    <mergeCell ref="A6:B6"/>
    <mergeCell ref="C16:G16"/>
    <mergeCell ref="H16:H17"/>
    <mergeCell ref="I16:M16"/>
    <mergeCell ref="N16:N17"/>
    <mergeCell ref="F4:F5"/>
    <mergeCell ref="G4:G5"/>
    <mergeCell ref="H4:H5"/>
    <mergeCell ref="W4:X4"/>
    <mergeCell ref="I4:I5"/>
    <mergeCell ref="J4:N4"/>
    <mergeCell ref="O4:O5"/>
    <mergeCell ref="P16:P17"/>
    <mergeCell ref="P4:T4"/>
    <mergeCell ref="U4:U5"/>
    <mergeCell ref="V4:V5"/>
    <mergeCell ref="A2:I2"/>
    <mergeCell ref="A3:I3"/>
    <mergeCell ref="A4:A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" footer="0"/>
  <pageSetup horizontalDpi="120" verticalDpi="120" orientation="landscape" scale="2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36"/>
  <sheetViews>
    <sheetView zoomScale="150" zoomScaleNormal="150" zoomScalePageLayoutView="0" workbookViewId="0" topLeftCell="A4">
      <pane xSplit="2" topLeftCell="N1" activePane="topRight" state="frozen"/>
      <selection pane="topLeft" activeCell="A1" sqref="A1"/>
      <selection pane="topRight" activeCell="Y16" sqref="Y16"/>
    </sheetView>
  </sheetViews>
  <sheetFormatPr defaultColWidth="11.421875" defaultRowHeight="15"/>
  <cols>
    <col min="1" max="1" width="6.421875" style="287" customWidth="1"/>
    <col min="2" max="2" width="27.140625" style="159" customWidth="1"/>
    <col min="3" max="3" width="16.57421875" style="159" customWidth="1"/>
    <col min="4" max="4" width="13.00390625" style="159" customWidth="1"/>
    <col min="5" max="5" width="20.421875" style="159" customWidth="1"/>
    <col min="6" max="6" width="24.7109375" style="288" customWidth="1"/>
    <col min="7" max="7" width="13.7109375" style="288" customWidth="1"/>
    <col min="8" max="8" width="13.00390625" style="159" customWidth="1"/>
    <col min="9" max="9" width="14.140625" style="159" customWidth="1"/>
    <col min="10" max="10" width="15.8515625" style="159" customWidth="1"/>
    <col min="11" max="11" width="14.421875" style="159" customWidth="1"/>
    <col min="12" max="12" width="14.8515625" style="159" customWidth="1"/>
    <col min="13" max="13" width="15.57421875" style="159" customWidth="1"/>
    <col min="14" max="16" width="17.57421875" style="159" customWidth="1"/>
    <col min="17" max="18" width="14.8515625" style="159" customWidth="1"/>
    <col min="19" max="19" width="13.140625" style="159" customWidth="1"/>
    <col min="20" max="20" width="16.7109375" style="159" customWidth="1"/>
    <col min="21" max="22" width="13.00390625" style="159" customWidth="1"/>
    <col min="23" max="23" width="14.57421875" style="159" customWidth="1"/>
    <col min="24" max="24" width="13.8515625" style="159" customWidth="1"/>
    <col min="25" max="25" width="15.140625" style="159" customWidth="1"/>
    <col min="26" max="26" width="15.8515625" style="159" customWidth="1"/>
    <col min="27" max="27" width="15.28125" style="159" customWidth="1"/>
    <col min="28" max="32" width="15.8515625" style="159" customWidth="1"/>
    <col min="33" max="33" width="15.421875" style="159" customWidth="1"/>
    <col min="34" max="34" width="17.421875" style="206" customWidth="1"/>
    <col min="35" max="35" width="4.28125" style="159" customWidth="1"/>
    <col min="36" max="36" width="37.57421875" style="159" customWidth="1"/>
    <col min="37" max="37" width="14.140625" style="159" customWidth="1"/>
    <col min="38" max="38" width="12.8515625" style="159" customWidth="1"/>
    <col min="39" max="39" width="11.140625" style="159" customWidth="1"/>
    <col min="40" max="40" width="11.421875" style="159" customWidth="1"/>
    <col min="41" max="42" width="12.8515625" style="159" customWidth="1"/>
    <col min="43" max="45" width="14.140625" style="159" customWidth="1"/>
    <col min="46" max="46" width="16.00390625" style="159" customWidth="1"/>
    <col min="47" max="47" width="3.421875" style="159" customWidth="1"/>
    <col min="48" max="50" width="14.140625" style="159" customWidth="1"/>
    <col min="51" max="51" width="11.421875" style="159" customWidth="1"/>
    <col min="52" max="53" width="11.421875" style="159" hidden="1" customWidth="1"/>
    <col min="54" max="54" width="11.421875" style="159" customWidth="1"/>
    <col min="55" max="16384" width="11.421875" style="159" customWidth="1"/>
  </cols>
  <sheetData>
    <row r="2" spans="1:9" ht="15">
      <c r="A2" s="186"/>
      <c r="B2" s="186" t="s">
        <v>32</v>
      </c>
      <c r="C2" s="186"/>
      <c r="D2" s="186"/>
      <c r="E2" s="186"/>
      <c r="F2" s="186"/>
      <c r="G2" s="186"/>
      <c r="H2" s="186"/>
      <c r="I2" s="186"/>
    </row>
    <row r="3" spans="1:9" ht="15">
      <c r="A3" s="185"/>
      <c r="B3" s="185" t="s">
        <v>291</v>
      </c>
      <c r="C3" s="185"/>
      <c r="D3" s="185"/>
      <c r="E3" s="185"/>
      <c r="F3" s="185"/>
      <c r="G3" s="185"/>
      <c r="H3" s="185"/>
      <c r="I3" s="185"/>
    </row>
    <row r="4" spans="1:44" ht="14.25" customHeight="1">
      <c r="A4" s="346"/>
      <c r="B4" s="346" t="s">
        <v>34</v>
      </c>
      <c r="C4" s="346" t="s">
        <v>37</v>
      </c>
      <c r="D4" s="346" t="s">
        <v>38</v>
      </c>
      <c r="E4" s="346" t="s">
        <v>31</v>
      </c>
      <c r="F4" s="347" t="s">
        <v>35</v>
      </c>
      <c r="G4" s="349" t="s">
        <v>1</v>
      </c>
      <c r="H4" s="346" t="s">
        <v>39</v>
      </c>
      <c r="I4" s="346" t="s">
        <v>0</v>
      </c>
      <c r="J4" s="351" t="s">
        <v>40</v>
      </c>
      <c r="K4" s="352"/>
      <c r="L4" s="352"/>
      <c r="M4" s="352"/>
      <c r="N4" s="352"/>
      <c r="O4" s="352"/>
      <c r="P4" s="352"/>
      <c r="Q4" s="352"/>
      <c r="R4" s="352"/>
      <c r="S4" s="353"/>
      <c r="T4" s="349" t="s">
        <v>44</v>
      </c>
      <c r="U4" s="351" t="s">
        <v>2</v>
      </c>
      <c r="V4" s="352"/>
      <c r="W4" s="352"/>
      <c r="X4" s="353"/>
      <c r="Y4" s="136"/>
      <c r="Z4" s="136"/>
      <c r="AA4" s="136"/>
      <c r="AB4" s="349" t="s">
        <v>50</v>
      </c>
      <c r="AC4" s="349" t="s">
        <v>51</v>
      </c>
      <c r="AD4" s="137" t="s">
        <v>2</v>
      </c>
      <c r="AE4" s="138"/>
      <c r="AF4" s="138"/>
      <c r="AG4" s="128"/>
      <c r="AH4" s="207"/>
      <c r="AI4" s="50"/>
      <c r="AJ4" s="50"/>
      <c r="AK4" s="348" t="s">
        <v>221</v>
      </c>
      <c r="AL4" s="348"/>
      <c r="AM4" s="348"/>
      <c r="AN4" s="348"/>
      <c r="AO4" s="348"/>
      <c r="AP4" s="348"/>
      <c r="AQ4" s="348"/>
      <c r="AR4" s="348"/>
    </row>
    <row r="5" spans="1:50" ht="37.5" customHeight="1">
      <c r="A5" s="346"/>
      <c r="B5" s="346"/>
      <c r="C5" s="346"/>
      <c r="D5" s="346"/>
      <c r="E5" s="346"/>
      <c r="F5" s="347"/>
      <c r="G5" s="350"/>
      <c r="H5" s="346"/>
      <c r="I5" s="346"/>
      <c r="J5" s="126" t="s">
        <v>41</v>
      </c>
      <c r="K5" s="141" t="s">
        <v>52</v>
      </c>
      <c r="L5" s="139" t="s">
        <v>42</v>
      </c>
      <c r="M5" s="139" t="s">
        <v>168</v>
      </c>
      <c r="N5" s="132" t="s">
        <v>252</v>
      </c>
      <c r="O5" s="139" t="s">
        <v>175</v>
      </c>
      <c r="P5" s="139" t="s">
        <v>228</v>
      </c>
      <c r="Q5" s="139" t="s">
        <v>158</v>
      </c>
      <c r="R5" s="139" t="s">
        <v>220</v>
      </c>
      <c r="S5" s="139" t="s">
        <v>60</v>
      </c>
      <c r="T5" s="350"/>
      <c r="U5" s="132" t="s">
        <v>45</v>
      </c>
      <c r="V5" s="132" t="s">
        <v>46</v>
      </c>
      <c r="W5" s="132" t="s">
        <v>47</v>
      </c>
      <c r="X5" s="132" t="s">
        <v>48</v>
      </c>
      <c r="Y5" s="132" t="s">
        <v>163</v>
      </c>
      <c r="Z5" s="132" t="s">
        <v>169</v>
      </c>
      <c r="AA5" s="132" t="s">
        <v>49</v>
      </c>
      <c r="AB5" s="350"/>
      <c r="AC5" s="350"/>
      <c r="AD5" s="47" t="s">
        <v>154</v>
      </c>
      <c r="AE5" s="47" t="s">
        <v>166</v>
      </c>
      <c r="AF5" s="47" t="s">
        <v>156</v>
      </c>
      <c r="AG5" s="47" t="s">
        <v>157</v>
      </c>
      <c r="AH5" s="132" t="s">
        <v>70</v>
      </c>
      <c r="AJ5" s="249" t="s">
        <v>223</v>
      </c>
      <c r="AK5" s="246" t="s">
        <v>44</v>
      </c>
      <c r="AL5" s="247" t="s">
        <v>47</v>
      </c>
      <c r="AM5" s="247" t="s">
        <v>48</v>
      </c>
      <c r="AN5" s="248" t="s">
        <v>49</v>
      </c>
      <c r="AO5" s="248" t="s">
        <v>163</v>
      </c>
      <c r="AP5" s="246" t="s">
        <v>50</v>
      </c>
      <c r="AQ5" s="246" t="s">
        <v>51</v>
      </c>
      <c r="AR5" s="246" t="s">
        <v>224</v>
      </c>
      <c r="AS5" s="246" t="s">
        <v>225</v>
      </c>
      <c r="AT5" s="246" t="s">
        <v>226</v>
      </c>
      <c r="AV5" s="246" t="s">
        <v>222</v>
      </c>
      <c r="AW5" s="246" t="s">
        <v>225</v>
      </c>
      <c r="AX5" s="246" t="s">
        <v>227</v>
      </c>
    </row>
    <row r="6" spans="1:39" ht="15">
      <c r="A6" s="338"/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S6" s="26"/>
      <c r="T6" s="26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208"/>
      <c r="AI6" s="25"/>
      <c r="AJ6" s="25"/>
      <c r="AK6" s="156"/>
      <c r="AL6" s="180"/>
      <c r="AM6" s="180"/>
    </row>
    <row r="7" spans="1:54" ht="15">
      <c r="A7" s="32" t="s">
        <v>181</v>
      </c>
      <c r="B7" s="225" t="str">
        <f>+modsalario2021!B4</f>
        <v>A</v>
      </c>
      <c r="C7" s="257">
        <f>+modsalario2021!C4</f>
        <v>71027104935</v>
      </c>
      <c r="D7" s="257">
        <f>+modsalario2021!D4</f>
        <v>0</v>
      </c>
      <c r="E7" s="282" t="str">
        <f>+modsalario2021!E4</f>
        <v>COPD710805H80</v>
      </c>
      <c r="F7" s="282" t="str">
        <f>+modsalario2021!F4</f>
        <v>COPD710805HCSRRN09</v>
      </c>
      <c r="G7" s="31">
        <f>+modsalario2021!I4</f>
        <v>176.07</v>
      </c>
      <c r="H7" s="31">
        <f>+modsalario2021!Q4</f>
        <v>195.7121636328805</v>
      </c>
      <c r="I7" s="147">
        <v>7</v>
      </c>
      <c r="J7" s="38">
        <f>G7*I7</f>
        <v>1232.49</v>
      </c>
      <c r="K7" s="38"/>
      <c r="L7" s="38">
        <f>J7*0.1</f>
        <v>123.24900000000001</v>
      </c>
      <c r="M7" s="197">
        <v>0</v>
      </c>
      <c r="N7" s="151"/>
      <c r="O7" s="151"/>
      <c r="P7" s="151"/>
      <c r="Q7" s="151"/>
      <c r="R7" s="133"/>
      <c r="S7" s="38"/>
      <c r="T7" s="38">
        <f>SUM(J7:S7)</f>
        <v>1355.739</v>
      </c>
      <c r="U7" s="31">
        <f>+ISRAbril2021!O34</f>
        <v>84.4357792</v>
      </c>
      <c r="V7" s="31">
        <f>+ISRAbril2021!P34</f>
        <v>67.83</v>
      </c>
      <c r="W7" s="31">
        <f>+U7-V7</f>
        <v>16.6057792</v>
      </c>
      <c r="X7" s="31">
        <v>0</v>
      </c>
      <c r="Y7" s="134">
        <f>(H7*I7)*0.02375</f>
        <v>32.537147203966384</v>
      </c>
      <c r="Z7" s="31"/>
      <c r="AA7" s="31"/>
      <c r="AB7" s="31">
        <f aca="true" t="shared" si="0" ref="AB7:AB34">W7+X7+AA7+Y7+Z7</f>
        <v>49.142926403966385</v>
      </c>
      <c r="AC7" s="31">
        <f aca="true" t="shared" si="1" ref="AC7:AC22">T7-AB7</f>
        <v>1306.5960735960336</v>
      </c>
      <c r="AD7" s="146">
        <v>200</v>
      </c>
      <c r="AE7" s="146">
        <v>0</v>
      </c>
      <c r="AF7" s="135">
        <f>AD7+AE7</f>
        <v>200</v>
      </c>
      <c r="AG7" s="204">
        <f aca="true" t="shared" si="2" ref="AG7:AG34">AC7-AF7</f>
        <v>1106.5960735960336</v>
      </c>
      <c r="AH7" s="211" t="s">
        <v>199</v>
      </c>
      <c r="AI7" s="201"/>
      <c r="AJ7" s="243" t="str">
        <f>B7</f>
        <v>A</v>
      </c>
      <c r="AK7" s="244">
        <v>2746.692</v>
      </c>
      <c r="AL7" s="202">
        <v>18.344281600000045</v>
      </c>
      <c r="AM7" s="202">
        <v>0</v>
      </c>
      <c r="AN7" s="202"/>
      <c r="AO7" s="202">
        <v>70.88449926578392</v>
      </c>
      <c r="AP7" s="244">
        <f>SUM(AL7:AO7)</f>
        <v>89.22878086578396</v>
      </c>
      <c r="AQ7" s="244">
        <f>AK7-AP7</f>
        <v>2657.463219134216</v>
      </c>
      <c r="AR7" s="202">
        <f>+AK7-AP7</f>
        <v>2657.463219134216</v>
      </c>
      <c r="AS7" s="217">
        <f>AC7-AR7</f>
        <v>-1350.8671455381825</v>
      </c>
      <c r="AT7" s="202">
        <f aca="true" t="shared" si="3" ref="AT7:AT34">+AR7+AS7</f>
        <v>1306.5960735960336</v>
      </c>
      <c r="AV7" s="202">
        <v>3609.06</v>
      </c>
      <c r="AW7" s="202">
        <f aca="true" t="shared" si="4" ref="AW7:AW33">+AS7</f>
        <v>-1350.8671455381825</v>
      </c>
      <c r="AX7" s="250">
        <f aca="true" t="shared" si="5" ref="AX7:AX34">+AV7-AW7</f>
        <v>4959.927145538182</v>
      </c>
      <c r="AZ7" s="133">
        <f>(((G7/8)*2)*9)*2</f>
        <v>792.3149999999999</v>
      </c>
      <c r="BA7" s="38">
        <f>9.03*30</f>
        <v>270.9</v>
      </c>
      <c r="BB7" s="180"/>
    </row>
    <row r="8" spans="1:54" ht="15">
      <c r="A8" s="32" t="s">
        <v>181</v>
      </c>
      <c r="B8" s="225" t="str">
        <f>+modsalario2021!B5</f>
        <v>B</v>
      </c>
      <c r="C8" s="257">
        <f>+modsalario2021!C5</f>
        <v>71068906206</v>
      </c>
      <c r="D8" s="257">
        <f>+modsalario2021!D5</f>
        <v>0</v>
      </c>
      <c r="E8" s="282" t="str">
        <f>+modsalario2021!E5</f>
        <v>EIGR8904026AA</v>
      </c>
      <c r="F8" s="282" t="str">
        <f>+modsalario2021!F5</f>
        <v>EIGR890402HCSSLC06</v>
      </c>
      <c r="G8" s="31">
        <f>+modsalario2021!I5</f>
        <v>176.07</v>
      </c>
      <c r="H8" s="31">
        <f>+modsalario2021!Q5</f>
        <v>195.7121636328805</v>
      </c>
      <c r="I8" s="147">
        <v>7</v>
      </c>
      <c r="J8" s="38">
        <f aca="true" t="shared" si="6" ref="J8:J34">G8*I8</f>
        <v>1232.49</v>
      </c>
      <c r="K8" s="38"/>
      <c r="L8" s="38">
        <f aca="true" t="shared" si="7" ref="L8:L32">J8*0.1</f>
        <v>123.24900000000001</v>
      </c>
      <c r="M8" s="38">
        <v>0</v>
      </c>
      <c r="N8" s="133">
        <v>0</v>
      </c>
      <c r="O8" s="155"/>
      <c r="P8" s="155"/>
      <c r="Q8" s="155"/>
      <c r="R8" s="133"/>
      <c r="S8" s="38"/>
      <c r="T8" s="38">
        <f aca="true" t="shared" si="8" ref="T8:T34">SUM(J8:S8)</f>
        <v>1355.739</v>
      </c>
      <c r="U8" s="31">
        <f>+ISRAbril2021!O35</f>
        <v>84.4357792</v>
      </c>
      <c r="V8" s="31">
        <f>+ISRAbril2021!P35</f>
        <v>67.83</v>
      </c>
      <c r="W8" s="31">
        <f aca="true" t="shared" si="9" ref="W8:W28">+U8-V8</f>
        <v>16.6057792</v>
      </c>
      <c r="X8" s="31">
        <v>0</v>
      </c>
      <c r="Y8" s="134">
        <f aca="true" t="shared" si="10" ref="Y8:Y35">(H8*I8)*0.02375</f>
        <v>32.537147203966384</v>
      </c>
      <c r="Z8" s="31"/>
      <c r="AA8" s="31">
        <v>0</v>
      </c>
      <c r="AB8" s="31">
        <f t="shared" si="0"/>
        <v>49.142926403966385</v>
      </c>
      <c r="AC8" s="31">
        <f t="shared" si="1"/>
        <v>1306.5960735960336</v>
      </c>
      <c r="AD8" s="146">
        <v>300</v>
      </c>
      <c r="AE8" s="146">
        <v>278.41</v>
      </c>
      <c r="AF8" s="135">
        <f aca="true" t="shared" si="11" ref="AF8:AF31">AD8+AE8</f>
        <v>578.4100000000001</v>
      </c>
      <c r="AG8" s="204">
        <f t="shared" si="2"/>
        <v>728.1860735960336</v>
      </c>
      <c r="AH8" s="212" t="s">
        <v>206</v>
      </c>
      <c r="AI8" s="201"/>
      <c r="AJ8" s="243" t="str">
        <f aca="true" t="shared" si="12" ref="AJ8:AJ35">B8</f>
        <v>B</v>
      </c>
      <c r="AK8" s="244">
        <v>2905.1549999999997</v>
      </c>
      <c r="AL8" s="202">
        <v>35.58505600000001</v>
      </c>
      <c r="AM8" s="202">
        <v>0</v>
      </c>
      <c r="AN8" s="202">
        <v>0</v>
      </c>
      <c r="AO8" s="202">
        <v>70.88449926578392</v>
      </c>
      <c r="AP8" s="244">
        <f aca="true" t="shared" si="13" ref="AP8:AP32">SUM(AL8:AO8)</f>
        <v>106.46955526578392</v>
      </c>
      <c r="AQ8" s="244">
        <f aca="true" t="shared" si="14" ref="AQ8:AQ34">AK8-AP8</f>
        <v>2798.6854447342157</v>
      </c>
      <c r="AR8" s="202">
        <f aca="true" t="shared" si="15" ref="AR8:AR34">+AK8-AP8</f>
        <v>2798.6854447342157</v>
      </c>
      <c r="AS8" s="217">
        <f aca="true" t="shared" si="16" ref="AS8:AS34">AC8-AR8</f>
        <v>-1492.089371138182</v>
      </c>
      <c r="AT8" s="202">
        <f t="shared" si="3"/>
        <v>1306.5960735960336</v>
      </c>
      <c r="AV8" s="202">
        <v>3713.37</v>
      </c>
      <c r="AW8" s="202">
        <f t="shared" si="4"/>
        <v>-1492.089371138182</v>
      </c>
      <c r="AX8" s="250">
        <f t="shared" si="5"/>
        <v>5205.459371138182</v>
      </c>
      <c r="AZ8" s="133">
        <f>(((G8/8)*2)*9)*2</f>
        <v>792.3149999999999</v>
      </c>
      <c r="BA8" s="38">
        <f>9.03*30</f>
        <v>270.9</v>
      </c>
      <c r="BB8" s="180"/>
    </row>
    <row r="9" spans="1:54" ht="15">
      <c r="A9" s="32" t="s">
        <v>181</v>
      </c>
      <c r="B9" s="225" t="str">
        <f>+modsalario2021!B6</f>
        <v>C</v>
      </c>
      <c r="C9" s="257">
        <f>+modsalario2021!C6</f>
        <v>71088919221</v>
      </c>
      <c r="D9" s="257">
        <f>+modsalario2021!D6</f>
        <v>0</v>
      </c>
      <c r="E9" s="282" t="str">
        <f>+modsalario2021!E6</f>
        <v>GOPA890224584</v>
      </c>
      <c r="F9" s="282" t="str">
        <f>+modsalario2021!F6</f>
        <v>GOPA890224HCSNRL00</v>
      </c>
      <c r="G9" s="31">
        <f>+modsalario2021!I6</f>
        <v>158.025</v>
      </c>
      <c r="H9" s="31">
        <f>+modsalario2021!Q6</f>
        <v>176.579547953007</v>
      </c>
      <c r="I9" s="147">
        <v>0</v>
      </c>
      <c r="J9" s="38">
        <f>(G9*I9)</f>
        <v>0</v>
      </c>
      <c r="K9" s="38"/>
      <c r="L9" s="38">
        <f t="shared" si="7"/>
        <v>0</v>
      </c>
      <c r="M9" s="38">
        <v>0</v>
      </c>
      <c r="N9" s="148">
        <v>0</v>
      </c>
      <c r="O9" s="38"/>
      <c r="P9" s="148">
        <v>0</v>
      </c>
      <c r="Q9" s="38"/>
      <c r="R9" s="133"/>
      <c r="S9" s="38"/>
      <c r="T9" s="38">
        <f t="shared" si="8"/>
        <v>0</v>
      </c>
      <c r="U9" s="31">
        <f>+ISRAbril2021!O36</f>
        <v>0</v>
      </c>
      <c r="V9" s="31">
        <f>+ISRAbril2021!P36</f>
        <v>0</v>
      </c>
      <c r="W9" s="31">
        <v>0</v>
      </c>
      <c r="X9" s="31">
        <v>0</v>
      </c>
      <c r="Y9" s="134">
        <f t="shared" si="10"/>
        <v>0</v>
      </c>
      <c r="Z9" s="31"/>
      <c r="AA9" s="31"/>
      <c r="AB9" s="31">
        <f t="shared" si="0"/>
        <v>0</v>
      </c>
      <c r="AC9" s="31">
        <f t="shared" si="1"/>
        <v>0</v>
      </c>
      <c r="AD9" s="146">
        <v>0</v>
      </c>
      <c r="AE9" s="146">
        <v>0</v>
      </c>
      <c r="AF9" s="135">
        <f t="shared" si="11"/>
        <v>0</v>
      </c>
      <c r="AG9" s="204">
        <f t="shared" si="2"/>
        <v>0</v>
      </c>
      <c r="AH9" s="212" t="s">
        <v>206</v>
      </c>
      <c r="AI9" s="201"/>
      <c r="AJ9" s="243" t="str">
        <f t="shared" si="12"/>
        <v>C</v>
      </c>
      <c r="AK9" s="244">
        <v>1261.513575</v>
      </c>
      <c r="AL9" s="202">
        <v>0</v>
      </c>
      <c r="AM9" s="202">
        <v>-134.1657712</v>
      </c>
      <c r="AN9" s="202"/>
      <c r="AO9" s="202">
        <v>63.954905024229724</v>
      </c>
      <c r="AP9" s="244">
        <f t="shared" si="13"/>
        <v>-70.21086617577026</v>
      </c>
      <c r="AQ9" s="244">
        <f t="shared" si="14"/>
        <v>1331.7244411757702</v>
      </c>
      <c r="AR9" s="202">
        <f t="shared" si="15"/>
        <v>1331.7244411757702</v>
      </c>
      <c r="AS9" s="217">
        <f t="shared" si="16"/>
        <v>-1331.7244411757702</v>
      </c>
      <c r="AT9" s="202">
        <f t="shared" si="3"/>
        <v>0</v>
      </c>
      <c r="AV9" s="202">
        <v>3334.14</v>
      </c>
      <c r="AW9" s="202">
        <f t="shared" si="4"/>
        <v>-1331.7244411757702</v>
      </c>
      <c r="AX9" s="250">
        <f t="shared" si="5"/>
        <v>4665.8644411757705</v>
      </c>
      <c r="AZ9" s="133">
        <f>(((G9/8)*2)*9)*2</f>
        <v>711.1125000000001</v>
      </c>
      <c r="BA9" s="38">
        <f>9.03*30</f>
        <v>270.9</v>
      </c>
      <c r="BB9" s="180"/>
    </row>
    <row r="10" spans="1:54" ht="15">
      <c r="A10" s="32" t="s">
        <v>181</v>
      </c>
      <c r="B10" s="225" t="str">
        <f>+modsalario2021!B7</f>
        <v>D</v>
      </c>
      <c r="C10" s="257">
        <f>+modsalario2021!C7</f>
        <v>71038419710</v>
      </c>
      <c r="D10" s="257">
        <f>+modsalario2021!D7</f>
        <v>0</v>
      </c>
      <c r="E10" s="282" t="str">
        <f>+modsalario2021!E7</f>
        <v>LOEL840901CQA</v>
      </c>
      <c r="F10" s="282" t="str">
        <f>+modsalario2021!F7</f>
        <v>LOEL840901HCSPSS09</v>
      </c>
      <c r="G10" s="31">
        <f>+modsalario2021!I7</f>
        <v>176.07</v>
      </c>
      <c r="H10" s="31">
        <f>+modsalario2021!Q7</f>
        <v>195.7121636328805</v>
      </c>
      <c r="I10" s="147">
        <v>7</v>
      </c>
      <c r="J10" s="38">
        <f>(G10*I10)</f>
        <v>1232.49</v>
      </c>
      <c r="K10" s="38"/>
      <c r="L10" s="38">
        <f t="shared" si="7"/>
        <v>123.24900000000001</v>
      </c>
      <c r="M10" s="197">
        <v>0</v>
      </c>
      <c r="N10" s="133">
        <v>0</v>
      </c>
      <c r="O10" s="151"/>
      <c r="P10" s="133">
        <v>0</v>
      </c>
      <c r="Q10" s="151"/>
      <c r="R10" s="133"/>
      <c r="S10" s="38"/>
      <c r="T10" s="38">
        <f t="shared" si="8"/>
        <v>1355.739</v>
      </c>
      <c r="U10" s="31">
        <f>+ISRAbril2021!O37</f>
        <v>84.4357792</v>
      </c>
      <c r="V10" s="31">
        <f>+ISRAbril2021!P37</f>
        <v>67.83</v>
      </c>
      <c r="W10" s="31">
        <f t="shared" si="9"/>
        <v>16.6057792</v>
      </c>
      <c r="X10" s="31">
        <v>0</v>
      </c>
      <c r="Y10" s="134">
        <f t="shared" si="10"/>
        <v>32.537147203966384</v>
      </c>
      <c r="Z10" s="31"/>
      <c r="AA10" s="31"/>
      <c r="AB10" s="31">
        <f t="shared" si="0"/>
        <v>49.142926403966385</v>
      </c>
      <c r="AC10" s="31">
        <f t="shared" si="1"/>
        <v>1306.5960735960336</v>
      </c>
      <c r="AD10" s="146">
        <v>100</v>
      </c>
      <c r="AE10" s="146">
        <v>358.33</v>
      </c>
      <c r="AF10" s="135">
        <f t="shared" si="11"/>
        <v>458.33</v>
      </c>
      <c r="AG10" s="204">
        <f t="shared" si="2"/>
        <v>848.2660735960337</v>
      </c>
      <c r="AH10" s="212" t="s">
        <v>206</v>
      </c>
      <c r="AI10" s="201"/>
      <c r="AJ10" s="243" t="str">
        <f t="shared" si="12"/>
        <v>D</v>
      </c>
      <c r="AK10" s="244">
        <v>2971.1812499999996</v>
      </c>
      <c r="AL10" s="202">
        <v>42.768711999999994</v>
      </c>
      <c r="AM10" s="202">
        <v>0</v>
      </c>
      <c r="AN10" s="202"/>
      <c r="AO10" s="202">
        <v>70.88449926578392</v>
      </c>
      <c r="AP10" s="244">
        <f t="shared" si="13"/>
        <v>113.65321126578391</v>
      </c>
      <c r="AQ10" s="244">
        <f t="shared" si="14"/>
        <v>2857.528038734216</v>
      </c>
      <c r="AR10" s="202">
        <f t="shared" si="15"/>
        <v>2857.528038734216</v>
      </c>
      <c r="AS10" s="217">
        <f t="shared" si="16"/>
        <v>-1550.9319651381822</v>
      </c>
      <c r="AT10" s="202">
        <f t="shared" si="3"/>
        <v>1306.5960735960336</v>
      </c>
      <c r="AV10" s="202">
        <v>6525.86</v>
      </c>
      <c r="AW10" s="202">
        <f t="shared" si="4"/>
        <v>-1550.9319651381822</v>
      </c>
      <c r="AX10" s="250">
        <f t="shared" si="5"/>
        <v>8076.791965138182</v>
      </c>
      <c r="AZ10" s="133">
        <f>(((G10/8)*2)*9)*2</f>
        <v>792.3149999999999</v>
      </c>
      <c r="BA10" s="38">
        <f>9.03*30</f>
        <v>270.9</v>
      </c>
      <c r="BB10" s="180"/>
    </row>
    <row r="11" spans="1:54" ht="15">
      <c r="A11" s="32" t="s">
        <v>181</v>
      </c>
      <c r="B11" s="225" t="str">
        <f>+modsalario2021!B8</f>
        <v>E</v>
      </c>
      <c r="C11" s="257">
        <f>+modsalario2021!C8</f>
        <v>71937835008</v>
      </c>
      <c r="D11" s="257">
        <f>+modsalario2021!D8</f>
        <v>0</v>
      </c>
      <c r="E11" s="282" t="str">
        <f>+modsalario2021!E8</f>
        <v>LAGM780425FZ2</v>
      </c>
      <c r="F11" s="282" t="str">
        <f>+modsalario2021!F8</f>
        <v>LAGM780425HCSRRR05</v>
      </c>
      <c r="G11" s="31">
        <f>+modsalario2021!I8</f>
        <v>162</v>
      </c>
      <c r="H11" s="31">
        <f>+modsalario2021!Q8</f>
        <v>180.57234265382223</v>
      </c>
      <c r="I11" s="147">
        <v>0</v>
      </c>
      <c r="J11" s="38">
        <f t="shared" si="6"/>
        <v>0</v>
      </c>
      <c r="K11" s="38"/>
      <c r="L11" s="38">
        <f t="shared" si="7"/>
        <v>0</v>
      </c>
      <c r="M11" s="38">
        <v>0</v>
      </c>
      <c r="N11" s="38">
        <f>(162*1.2)*7</f>
        <v>1360.8</v>
      </c>
      <c r="O11" s="38">
        <f>((G11*1.2)*14)*0.25</f>
        <v>680.4</v>
      </c>
      <c r="P11" s="133">
        <v>0</v>
      </c>
      <c r="Q11" s="38"/>
      <c r="R11" s="133"/>
      <c r="S11" s="38"/>
      <c r="T11" s="38">
        <f t="shared" si="8"/>
        <v>2041.1999999999998</v>
      </c>
      <c r="U11" s="31">
        <f>+ISRAbril2021!O38</f>
        <v>84.98641599999996</v>
      </c>
      <c r="V11" s="31">
        <f>+ISRAbril2021!P38</f>
        <v>67.83</v>
      </c>
      <c r="W11" s="31">
        <f t="shared" si="9"/>
        <v>17.156415999999965</v>
      </c>
      <c r="X11" s="31">
        <v>0</v>
      </c>
      <c r="Y11" s="134">
        <f t="shared" si="10"/>
        <v>0</v>
      </c>
      <c r="Z11" s="31"/>
      <c r="AA11" s="31"/>
      <c r="AB11" s="31">
        <f t="shared" si="0"/>
        <v>17.156415999999965</v>
      </c>
      <c r="AC11" s="31">
        <f t="shared" si="1"/>
        <v>2024.0435839999998</v>
      </c>
      <c r="AD11" s="146">
        <v>0</v>
      </c>
      <c r="AE11" s="146">
        <v>544.44</v>
      </c>
      <c r="AF11" s="135">
        <f t="shared" si="11"/>
        <v>544.44</v>
      </c>
      <c r="AG11" s="204">
        <f t="shared" si="2"/>
        <v>1479.6035839999997</v>
      </c>
      <c r="AH11" s="212" t="s">
        <v>206</v>
      </c>
      <c r="AI11" s="201"/>
      <c r="AJ11" s="243" t="str">
        <f t="shared" si="12"/>
        <v>E</v>
      </c>
      <c r="AK11" s="244">
        <v>3568.05</v>
      </c>
      <c r="AL11" s="202">
        <v>145.65803200000002</v>
      </c>
      <c r="AM11" s="202">
        <v>0</v>
      </c>
      <c r="AN11" s="202"/>
      <c r="AO11" s="202">
        <v>65.40104535493124</v>
      </c>
      <c r="AP11" s="244">
        <f t="shared" si="13"/>
        <v>211.05907735493128</v>
      </c>
      <c r="AQ11" s="244">
        <f t="shared" si="14"/>
        <v>3356.990922645069</v>
      </c>
      <c r="AR11" s="202">
        <f t="shared" si="15"/>
        <v>3356.990922645069</v>
      </c>
      <c r="AS11" s="217">
        <f t="shared" si="16"/>
        <v>-1332.9473386450693</v>
      </c>
      <c r="AT11" s="202">
        <f t="shared" si="3"/>
        <v>2024.0435839999998</v>
      </c>
      <c r="AV11" s="202">
        <v>1250</v>
      </c>
      <c r="AW11" s="202">
        <f t="shared" si="4"/>
        <v>-1332.9473386450693</v>
      </c>
      <c r="AX11" s="250">
        <f>AV11-AW11</f>
        <v>2582.947338645069</v>
      </c>
      <c r="AZ11" s="133">
        <f>(((G11/8)*2)*9)*2</f>
        <v>729</v>
      </c>
      <c r="BA11" s="38">
        <f>9.03*30</f>
        <v>270.9</v>
      </c>
      <c r="BB11" s="180"/>
    </row>
    <row r="12" spans="1:54" ht="15">
      <c r="A12" s="32" t="s">
        <v>181</v>
      </c>
      <c r="B12" s="225" t="str">
        <f>+modsalario2021!B9</f>
        <v>F</v>
      </c>
      <c r="C12" s="257">
        <f>+modsalario2021!C9</f>
        <v>71927247842</v>
      </c>
      <c r="D12" s="257">
        <f>+modsalario2021!D9</f>
        <v>0</v>
      </c>
      <c r="E12" s="282" t="str">
        <f>+modsalario2021!E9</f>
        <v>VEMG720123848</v>
      </c>
      <c r="F12" s="282" t="str">
        <f>+modsalario2021!F9</f>
        <v>VEMG720123HCSLNL08</v>
      </c>
      <c r="G12" s="31">
        <f>+modsalario2021!I9</f>
        <v>176.07</v>
      </c>
      <c r="H12" s="31">
        <f>+modsalario2021!Q9</f>
        <v>195.71260475270168</v>
      </c>
      <c r="I12" s="147">
        <v>7</v>
      </c>
      <c r="J12" s="38">
        <f t="shared" si="6"/>
        <v>1232.49</v>
      </c>
      <c r="K12" s="38"/>
      <c r="L12" s="38">
        <f t="shared" si="7"/>
        <v>123.24900000000001</v>
      </c>
      <c r="M12" s="38">
        <v>0</v>
      </c>
      <c r="N12" s="133">
        <v>0</v>
      </c>
      <c r="O12" s="133"/>
      <c r="P12" s="133"/>
      <c r="Q12" s="133"/>
      <c r="R12" s="202"/>
      <c r="S12" s="202"/>
      <c r="T12" s="38">
        <f t="shared" si="8"/>
        <v>1355.739</v>
      </c>
      <c r="U12" s="31">
        <f>+ISRAbril2021!O39</f>
        <v>84.4357792</v>
      </c>
      <c r="V12" s="31">
        <f>+ISRAbril2021!P39</f>
        <v>67.83</v>
      </c>
      <c r="W12" s="31">
        <f t="shared" si="9"/>
        <v>16.6057792</v>
      </c>
      <c r="X12" s="31">
        <v>0</v>
      </c>
      <c r="Y12" s="134">
        <f t="shared" si="10"/>
        <v>32.53722054013665</v>
      </c>
      <c r="Z12" s="31"/>
      <c r="AA12" s="149">
        <v>680</v>
      </c>
      <c r="AB12" s="31">
        <f t="shared" si="0"/>
        <v>729.1429997401367</v>
      </c>
      <c r="AC12" s="31">
        <f t="shared" si="1"/>
        <v>626.5960002598633</v>
      </c>
      <c r="AD12" s="146">
        <v>200</v>
      </c>
      <c r="AE12" s="146">
        <v>0</v>
      </c>
      <c r="AF12" s="135">
        <f t="shared" si="11"/>
        <v>200</v>
      </c>
      <c r="AG12" s="204">
        <f t="shared" si="2"/>
        <v>426.59600025986333</v>
      </c>
      <c r="AH12" s="212" t="s">
        <v>206</v>
      </c>
      <c r="AI12" s="201"/>
      <c r="AJ12" s="243" t="str">
        <f t="shared" si="12"/>
        <v>F</v>
      </c>
      <c r="AK12" s="244">
        <v>3169.2599999999998</v>
      </c>
      <c r="AL12" s="202">
        <v>84.56968</v>
      </c>
      <c r="AM12" s="202">
        <v>0</v>
      </c>
      <c r="AN12" s="202">
        <v>680</v>
      </c>
      <c r="AO12" s="202">
        <v>70.88465903386913</v>
      </c>
      <c r="AP12" s="244">
        <f t="shared" si="13"/>
        <v>835.4543390338692</v>
      </c>
      <c r="AQ12" s="244">
        <f t="shared" si="14"/>
        <v>2333.8056609661307</v>
      </c>
      <c r="AR12" s="202">
        <f t="shared" si="15"/>
        <v>2333.8056609661307</v>
      </c>
      <c r="AS12" s="217">
        <f t="shared" si="16"/>
        <v>-1707.2096607062674</v>
      </c>
      <c r="AT12" s="202">
        <f t="shared" si="3"/>
        <v>626.5960002598633</v>
      </c>
      <c r="AV12" s="202">
        <v>0</v>
      </c>
      <c r="AW12" s="202">
        <f t="shared" si="4"/>
        <v>-1707.2096607062674</v>
      </c>
      <c r="AX12" s="217">
        <f t="shared" si="5"/>
        <v>1707.2096607062674</v>
      </c>
      <c r="AZ12" s="133">
        <f>((G12/8)*2)*12.5</f>
        <v>550.21875</v>
      </c>
      <c r="BA12" s="38">
        <v>0</v>
      </c>
      <c r="BB12" s="180"/>
    </row>
    <row r="13" spans="1:54" ht="15">
      <c r="A13" s="32" t="s">
        <v>181</v>
      </c>
      <c r="B13" s="225" t="str">
        <f>+modsalario2021!B10</f>
        <v>G</v>
      </c>
      <c r="C13" s="257">
        <f>+modsalario2021!C10</f>
        <v>71008312234</v>
      </c>
      <c r="D13" s="257">
        <f>+modsalario2021!D10</f>
        <v>0</v>
      </c>
      <c r="E13" s="282" t="str">
        <f>+modsalario2021!E10</f>
        <v>PEHF830502DJ2</v>
      </c>
      <c r="F13" s="282" t="str">
        <f>+modsalario2021!F10</f>
        <v>PEHF830502HCSRRL04</v>
      </c>
      <c r="G13" s="31">
        <f>+modsalario2021!I10</f>
        <v>176.07</v>
      </c>
      <c r="H13" s="31">
        <f>+modsalario2021!Q10</f>
        <v>195.47097185205857</v>
      </c>
      <c r="I13" s="147">
        <v>7</v>
      </c>
      <c r="J13" s="38">
        <f t="shared" si="6"/>
        <v>1232.49</v>
      </c>
      <c r="K13" s="38"/>
      <c r="L13" s="38">
        <f t="shared" si="7"/>
        <v>123.24900000000001</v>
      </c>
      <c r="M13" s="197">
        <v>0</v>
      </c>
      <c r="N13" s="133">
        <v>0</v>
      </c>
      <c r="O13" s="133"/>
      <c r="P13" s="133"/>
      <c r="Q13" s="133"/>
      <c r="R13" s="133"/>
      <c r="S13" s="38"/>
      <c r="T13" s="38">
        <f t="shared" si="8"/>
        <v>1355.739</v>
      </c>
      <c r="U13" s="31">
        <f>+ISRAbril2021!O40</f>
        <v>84.4357792</v>
      </c>
      <c r="V13" s="31">
        <f>+ISRAbril2021!P40</f>
        <v>67.83</v>
      </c>
      <c r="W13" s="31">
        <f t="shared" si="9"/>
        <v>16.6057792</v>
      </c>
      <c r="X13" s="31">
        <v>0</v>
      </c>
      <c r="Y13" s="134">
        <f t="shared" si="10"/>
        <v>32.49704907040474</v>
      </c>
      <c r="Z13" s="31">
        <v>0</v>
      </c>
      <c r="AA13" s="151"/>
      <c r="AB13" s="31">
        <f t="shared" si="0"/>
        <v>49.10282827040474</v>
      </c>
      <c r="AC13" s="31">
        <f t="shared" si="1"/>
        <v>1306.6361717295954</v>
      </c>
      <c r="AD13" s="146">
        <v>300</v>
      </c>
      <c r="AE13" s="146">
        <v>0</v>
      </c>
      <c r="AF13" s="135">
        <f t="shared" si="11"/>
        <v>300</v>
      </c>
      <c r="AG13" s="204">
        <f t="shared" si="2"/>
        <v>1006.6361717295954</v>
      </c>
      <c r="AH13" s="212" t="s">
        <v>206</v>
      </c>
      <c r="AI13" s="201"/>
      <c r="AJ13" s="243" t="str">
        <f t="shared" si="12"/>
        <v>G</v>
      </c>
      <c r="AK13" s="244">
        <v>3169.2599999999998</v>
      </c>
      <c r="AL13" s="202">
        <v>84.56968</v>
      </c>
      <c r="AM13" s="202">
        <v>0</v>
      </c>
      <c r="AN13" s="202"/>
      <c r="AO13" s="202">
        <v>70.79714261766748</v>
      </c>
      <c r="AP13" s="244">
        <f t="shared" si="13"/>
        <v>155.36682261766748</v>
      </c>
      <c r="AQ13" s="244">
        <f t="shared" si="14"/>
        <v>3013.8931773823324</v>
      </c>
      <c r="AR13" s="202">
        <f t="shared" si="15"/>
        <v>3013.8931773823324</v>
      </c>
      <c r="AS13" s="217">
        <f t="shared" si="16"/>
        <v>-1707.257005652737</v>
      </c>
      <c r="AT13" s="202">
        <f t="shared" si="3"/>
        <v>1306.6361717295954</v>
      </c>
      <c r="AV13" s="202">
        <v>266</v>
      </c>
      <c r="AW13" s="202">
        <f t="shared" si="4"/>
        <v>-1707.257005652737</v>
      </c>
      <c r="AX13" s="250">
        <f t="shared" si="5"/>
        <v>1973.257005652737</v>
      </c>
      <c r="AZ13" s="133">
        <f>((G13/8)*2)*5.55</f>
        <v>244.297125</v>
      </c>
      <c r="BA13" s="38">
        <v>0</v>
      </c>
      <c r="BB13" s="180"/>
    </row>
    <row r="14" spans="1:54" ht="15">
      <c r="A14" s="32" t="s">
        <v>181</v>
      </c>
      <c r="B14" s="225" t="str">
        <f>+modsalario2021!B11</f>
        <v>H</v>
      </c>
      <c r="C14" s="257">
        <f>+modsalario2021!C11</f>
        <v>75169672997</v>
      </c>
      <c r="D14" s="257">
        <f>+modsalario2021!D11</f>
        <v>0</v>
      </c>
      <c r="E14" s="282" t="str">
        <f>+modsalario2021!E11</f>
        <v>MOCJ960423650</v>
      </c>
      <c r="F14" s="282" t="str">
        <f>+modsalario2021!F11</f>
        <v>MOCJ960423HCSRHM09</v>
      </c>
      <c r="G14" s="204">
        <f>+modsalario2021!I11</f>
        <v>152.42</v>
      </c>
      <c r="H14" s="204">
        <f>+modsalario2021!Q11</f>
        <v>170.4284355201248</v>
      </c>
      <c r="I14" s="147">
        <v>7</v>
      </c>
      <c r="J14" s="38">
        <f t="shared" si="6"/>
        <v>1066.9399999999998</v>
      </c>
      <c r="K14" s="38"/>
      <c r="L14" s="38">
        <f t="shared" si="7"/>
        <v>106.69399999999999</v>
      </c>
      <c r="M14" s="38">
        <v>0</v>
      </c>
      <c r="N14" s="133">
        <v>0</v>
      </c>
      <c r="O14" s="151"/>
      <c r="P14" s="151">
        <v>0</v>
      </c>
      <c r="Q14" s="151"/>
      <c r="R14" s="133"/>
      <c r="S14" s="38"/>
      <c r="T14" s="38">
        <f t="shared" si="8"/>
        <v>1173.6339999999998</v>
      </c>
      <c r="U14" s="31">
        <f>+ISRAbril2021!O41</f>
        <v>68.48433599999998</v>
      </c>
      <c r="V14" s="31">
        <f>+ISRAbril2021!P41</f>
        <v>74.83</v>
      </c>
      <c r="W14" s="31"/>
      <c r="X14" s="31">
        <f>+U14-V14</f>
        <v>-6.3456640000000135</v>
      </c>
      <c r="Y14" s="134">
        <f t="shared" si="10"/>
        <v>28.333727405220746</v>
      </c>
      <c r="Z14" s="31"/>
      <c r="AB14" s="31">
        <f t="shared" si="0"/>
        <v>21.988063405220732</v>
      </c>
      <c r="AC14" s="31">
        <f t="shared" si="1"/>
        <v>1151.645936594779</v>
      </c>
      <c r="AD14" s="146">
        <v>250</v>
      </c>
      <c r="AE14" s="146">
        <v>418</v>
      </c>
      <c r="AF14" s="135">
        <f t="shared" si="11"/>
        <v>668</v>
      </c>
      <c r="AG14" s="204">
        <f t="shared" si="2"/>
        <v>483.64593659477896</v>
      </c>
      <c r="AH14" s="213" t="s">
        <v>206</v>
      </c>
      <c r="AI14" s="201"/>
      <c r="AJ14" s="243" t="str">
        <f t="shared" si="12"/>
        <v>H</v>
      </c>
      <c r="AK14" s="244">
        <v>2629.245</v>
      </c>
      <c r="AL14" s="202">
        <v>0</v>
      </c>
      <c r="AM14" s="202">
        <v>-6.280959999999993</v>
      </c>
      <c r="AN14" s="202"/>
      <c r="AO14" s="202">
        <v>61.7270489899452</v>
      </c>
      <c r="AP14" s="244">
        <f t="shared" si="13"/>
        <v>55.44608898994521</v>
      </c>
      <c r="AQ14" s="244">
        <f t="shared" si="14"/>
        <v>2573.798911010055</v>
      </c>
      <c r="AR14" s="202">
        <f t="shared" si="15"/>
        <v>2573.798911010055</v>
      </c>
      <c r="AS14" s="217">
        <f t="shared" si="16"/>
        <v>-1422.1529744152758</v>
      </c>
      <c r="AT14" s="202">
        <f t="shared" si="3"/>
        <v>1151.645936594779</v>
      </c>
      <c r="AV14" s="202">
        <v>2796.8</v>
      </c>
      <c r="AW14" s="202">
        <f t="shared" si="4"/>
        <v>-1422.1529744152758</v>
      </c>
      <c r="AX14" s="250">
        <f t="shared" si="5"/>
        <v>4218.952974415276</v>
      </c>
      <c r="AZ14" s="133">
        <f>(((G14/8)*2)*9)*2</f>
        <v>685.89</v>
      </c>
      <c r="BA14" s="38">
        <f>9.03*30</f>
        <v>270.9</v>
      </c>
      <c r="BB14" s="180"/>
    </row>
    <row r="15" spans="1:54" ht="15">
      <c r="A15" s="32" t="s">
        <v>181</v>
      </c>
      <c r="B15" s="225" t="str">
        <f>+modsalario2021!B12</f>
        <v>I</v>
      </c>
      <c r="C15" s="257">
        <f>+modsalario2021!C12</f>
        <v>71927733593</v>
      </c>
      <c r="D15" s="257">
        <f>+modsalario2021!D12</f>
        <v>0</v>
      </c>
      <c r="E15" s="282" t="str">
        <f>+modsalario2021!E12</f>
        <v>OAGM770905RZ9</v>
      </c>
      <c r="F15" s="282" t="str">
        <f>+modsalario2021!F12</f>
        <v>OAGM770905HCSRMS02</v>
      </c>
      <c r="G15" s="31">
        <f>+modsalario2021!I12</f>
        <v>176.07</v>
      </c>
      <c r="H15" s="31">
        <f>+modsalario2021!Q12</f>
        <v>194.7476712328767</v>
      </c>
      <c r="I15" s="147">
        <v>7</v>
      </c>
      <c r="J15" s="38">
        <f t="shared" si="6"/>
        <v>1232.49</v>
      </c>
      <c r="K15" s="38"/>
      <c r="L15" s="38">
        <f t="shared" si="7"/>
        <v>123.24900000000001</v>
      </c>
      <c r="M15" s="197">
        <v>0</v>
      </c>
      <c r="N15" s="133">
        <v>0</v>
      </c>
      <c r="O15" s="151"/>
      <c r="P15" s="151"/>
      <c r="Q15" s="151"/>
      <c r="R15" s="133"/>
      <c r="S15" s="38"/>
      <c r="T15" s="38">
        <f t="shared" si="8"/>
        <v>1355.739</v>
      </c>
      <c r="U15" s="31">
        <f>+ISRAbril2021!O42</f>
        <v>84.4357792</v>
      </c>
      <c r="V15" s="31">
        <f>+ISRAbril2021!P42</f>
        <v>67.83</v>
      </c>
      <c r="W15" s="31">
        <f t="shared" si="9"/>
        <v>16.6057792</v>
      </c>
      <c r="X15" s="31">
        <v>0</v>
      </c>
      <c r="Y15" s="134">
        <f t="shared" si="10"/>
        <v>32.376800342465756</v>
      </c>
      <c r="Z15" s="31"/>
      <c r="AA15" s="135">
        <v>0</v>
      </c>
      <c r="AB15" s="31">
        <f t="shared" si="0"/>
        <v>48.98257954246576</v>
      </c>
      <c r="AC15" s="31">
        <f t="shared" si="1"/>
        <v>1306.7564204575342</v>
      </c>
      <c r="AD15" s="146">
        <v>150</v>
      </c>
      <c r="AE15" s="146">
        <v>692.39</v>
      </c>
      <c r="AF15" s="135">
        <f t="shared" si="11"/>
        <v>842.39</v>
      </c>
      <c r="AG15" s="204">
        <f t="shared" si="2"/>
        <v>464.3664204575342</v>
      </c>
      <c r="AH15" s="212" t="s">
        <v>199</v>
      </c>
      <c r="AI15" s="201"/>
      <c r="AJ15" s="243" t="str">
        <f t="shared" si="12"/>
        <v>I</v>
      </c>
      <c r="AK15" s="244">
        <v>3169.2599999999998</v>
      </c>
      <c r="AL15" s="202">
        <v>84.56968</v>
      </c>
      <c r="AM15" s="202">
        <v>0</v>
      </c>
      <c r="AN15" s="202">
        <v>0</v>
      </c>
      <c r="AO15" s="202">
        <v>70.53517217465753</v>
      </c>
      <c r="AP15" s="244">
        <f t="shared" si="13"/>
        <v>155.10485217465754</v>
      </c>
      <c r="AQ15" s="244">
        <f t="shared" si="14"/>
        <v>3014.1551478253423</v>
      </c>
      <c r="AR15" s="202">
        <f t="shared" si="15"/>
        <v>3014.1551478253423</v>
      </c>
      <c r="AS15" s="217">
        <f t="shared" si="16"/>
        <v>-1707.398727367808</v>
      </c>
      <c r="AT15" s="202">
        <f t="shared" si="3"/>
        <v>1306.7564204575342</v>
      </c>
      <c r="AV15" s="202">
        <v>2162.14</v>
      </c>
      <c r="AW15" s="202">
        <f t="shared" si="4"/>
        <v>-1707.398727367808</v>
      </c>
      <c r="AX15" s="250">
        <f t="shared" si="5"/>
        <v>3869.538727367808</v>
      </c>
      <c r="AZ15" s="133">
        <f>(((G15/8)*2)*9)*2</f>
        <v>792.3149999999999</v>
      </c>
      <c r="BA15" s="38">
        <f>9.03*30</f>
        <v>270.9</v>
      </c>
      <c r="BB15" s="180"/>
    </row>
    <row r="16" spans="1:54" ht="15">
      <c r="A16" s="32" t="s">
        <v>181</v>
      </c>
      <c r="B16" s="225" t="str">
        <f>+modsalario2021!B13</f>
        <v>J</v>
      </c>
      <c r="C16" s="284">
        <f>+modsalario2021!C13</f>
        <v>71108817504</v>
      </c>
      <c r="D16" s="257">
        <f>+modsalario2021!D13</f>
        <v>0</v>
      </c>
      <c r="E16" s="282" t="str">
        <f>+modsalario2021!E13</f>
        <v>GORE881124</v>
      </c>
      <c r="F16" s="282" t="str">
        <f>+modsalario2021!F13</f>
        <v>GORE881124HCSMDM02</v>
      </c>
      <c r="G16" s="31">
        <f>+modsalario2021!I13</f>
        <v>176.07</v>
      </c>
      <c r="H16" s="31">
        <f>+modsalario2021!Q13</f>
        <v>194.98886301369862</v>
      </c>
      <c r="I16" s="147">
        <v>7</v>
      </c>
      <c r="J16" s="38">
        <f t="shared" si="6"/>
        <v>1232.49</v>
      </c>
      <c r="K16" s="38"/>
      <c r="L16" s="38">
        <f t="shared" si="7"/>
        <v>123.24900000000001</v>
      </c>
      <c r="M16" s="197">
        <v>0</v>
      </c>
      <c r="N16" s="133">
        <v>0</v>
      </c>
      <c r="O16" s="133"/>
      <c r="P16" s="133"/>
      <c r="Q16" s="133"/>
      <c r="R16" s="133"/>
      <c r="S16" s="38"/>
      <c r="T16" s="38">
        <f t="shared" si="8"/>
        <v>1355.739</v>
      </c>
      <c r="U16" s="31">
        <f>+ISRAbril2021!O43</f>
        <v>84.4357792</v>
      </c>
      <c r="V16" s="31">
        <f>+ISRAbril2021!P43</f>
        <v>67.83</v>
      </c>
      <c r="W16" s="31">
        <f t="shared" si="9"/>
        <v>16.6057792</v>
      </c>
      <c r="X16" s="31">
        <v>0</v>
      </c>
      <c r="Y16" s="134">
        <f t="shared" si="10"/>
        <v>32.4168984760274</v>
      </c>
      <c r="Z16" s="31"/>
      <c r="AA16" s="31"/>
      <c r="AB16" s="31">
        <f t="shared" si="0"/>
        <v>49.0226776760274</v>
      </c>
      <c r="AC16" s="31">
        <f>T16-AB16</f>
        <v>1306.7163223239727</v>
      </c>
      <c r="AD16" s="146">
        <v>200</v>
      </c>
      <c r="AE16" s="146">
        <v>193.42</v>
      </c>
      <c r="AF16" s="135">
        <f t="shared" si="11"/>
        <v>393.41999999999996</v>
      </c>
      <c r="AG16" s="204">
        <f t="shared" si="2"/>
        <v>913.2963223239727</v>
      </c>
      <c r="AH16" s="212" t="s">
        <v>206</v>
      </c>
      <c r="AI16" s="201"/>
      <c r="AJ16" s="243" t="str">
        <f t="shared" si="12"/>
        <v>J</v>
      </c>
      <c r="AK16" s="244">
        <v>3169.2599999999998</v>
      </c>
      <c r="AL16" s="202">
        <v>84.56968</v>
      </c>
      <c r="AM16" s="202">
        <v>0</v>
      </c>
      <c r="AN16" s="202"/>
      <c r="AO16" s="202">
        <v>70.62252882277397</v>
      </c>
      <c r="AP16" s="244">
        <f t="shared" si="13"/>
        <v>155.19220882277398</v>
      </c>
      <c r="AQ16" s="244">
        <f t="shared" si="14"/>
        <v>3014.067791177226</v>
      </c>
      <c r="AR16" s="202">
        <f t="shared" si="15"/>
        <v>3014.067791177226</v>
      </c>
      <c r="AS16" s="217">
        <f t="shared" si="16"/>
        <v>-1707.3514688532532</v>
      </c>
      <c r="AT16" s="202">
        <f t="shared" si="3"/>
        <v>1306.7163223239727</v>
      </c>
      <c r="AV16" s="202">
        <v>1162.14</v>
      </c>
      <c r="AW16" s="202">
        <f t="shared" si="4"/>
        <v>-1707.3514688532532</v>
      </c>
      <c r="AX16" s="250">
        <f t="shared" si="5"/>
        <v>2869.4914688532535</v>
      </c>
      <c r="AZ16" s="133">
        <f>(((G16/8)*2)*9)*2</f>
        <v>792.3149999999999</v>
      </c>
      <c r="BA16" s="38">
        <f>9.03*30</f>
        <v>270.9</v>
      </c>
      <c r="BB16" s="180"/>
    </row>
    <row r="17" spans="1:54" ht="15">
      <c r="A17" s="32" t="s">
        <v>181</v>
      </c>
      <c r="B17" s="225" t="str">
        <f>+modsalario2021!B14</f>
        <v>K</v>
      </c>
      <c r="C17" s="284" t="str">
        <f>+modsalario2021!C14</f>
        <v>02188940387</v>
      </c>
      <c r="D17" s="257">
        <f>+modsalario2021!D14</f>
        <v>0</v>
      </c>
      <c r="E17" s="282" t="str">
        <f>+modsalario2021!E14</f>
        <v>PARS8910063DA</v>
      </c>
      <c r="F17" s="282" t="str">
        <f>+modsalario2021!F14</f>
        <v>PARS891006MCSRDT08</v>
      </c>
      <c r="G17" s="31">
        <f>+modsalario2021!I14</f>
        <v>283</v>
      </c>
      <c r="H17" s="31">
        <f>+modsalario2021!Q14</f>
        <v>307.9242339737279</v>
      </c>
      <c r="I17" s="147">
        <v>7</v>
      </c>
      <c r="J17" s="38">
        <f t="shared" si="6"/>
        <v>1981</v>
      </c>
      <c r="K17" s="38"/>
      <c r="L17" s="38">
        <f t="shared" si="7"/>
        <v>198.10000000000002</v>
      </c>
      <c r="M17" s="197">
        <v>0</v>
      </c>
      <c r="N17" s="38">
        <v>0</v>
      </c>
      <c r="O17" s="38"/>
      <c r="P17" s="38">
        <v>0</v>
      </c>
      <c r="Q17" s="38"/>
      <c r="R17" s="133"/>
      <c r="S17" s="38"/>
      <c r="T17" s="38">
        <f t="shared" si="8"/>
        <v>2179.1</v>
      </c>
      <c r="U17" s="31">
        <f>+ISRAbril2021!O44</f>
        <v>174.01745599999998</v>
      </c>
      <c r="V17" s="31">
        <f>+ISRAbril2021!P44</f>
        <v>0</v>
      </c>
      <c r="W17" s="31">
        <f t="shared" si="9"/>
        <v>174.01745599999998</v>
      </c>
      <c r="X17" s="31">
        <v>0</v>
      </c>
      <c r="Y17" s="134">
        <f t="shared" si="10"/>
        <v>51.19240389813226</v>
      </c>
      <c r="Z17" s="31"/>
      <c r="AB17" s="31">
        <f t="shared" si="0"/>
        <v>225.20985989813224</v>
      </c>
      <c r="AC17" s="31">
        <f t="shared" si="1"/>
        <v>1953.8901401018677</v>
      </c>
      <c r="AD17" s="146">
        <v>500</v>
      </c>
      <c r="AE17" s="146">
        <v>0</v>
      </c>
      <c r="AF17" s="135">
        <f t="shared" si="11"/>
        <v>500</v>
      </c>
      <c r="AG17" s="204">
        <f t="shared" si="2"/>
        <v>1453.8901401018677</v>
      </c>
      <c r="AH17" s="212" t="s">
        <v>206</v>
      </c>
      <c r="AI17" s="201"/>
      <c r="AJ17" s="243" t="str">
        <f t="shared" si="12"/>
        <v>K</v>
      </c>
      <c r="AK17" s="244">
        <v>5094</v>
      </c>
      <c r="AL17" s="202">
        <v>436.9903999999999</v>
      </c>
      <c r="AM17" s="202">
        <v>0</v>
      </c>
      <c r="AN17" s="202"/>
      <c r="AO17" s="202">
        <v>114.40118991796223</v>
      </c>
      <c r="AP17" s="244">
        <f t="shared" si="13"/>
        <v>551.3915899179622</v>
      </c>
      <c r="AQ17" s="244">
        <f t="shared" si="14"/>
        <v>4542.608410082038</v>
      </c>
      <c r="AR17" s="202">
        <f t="shared" si="15"/>
        <v>4542.608410082038</v>
      </c>
      <c r="AS17" s="217">
        <f t="shared" si="16"/>
        <v>-2588.7182699801706</v>
      </c>
      <c r="AT17" s="202">
        <f t="shared" si="3"/>
        <v>1953.8901401018675</v>
      </c>
      <c r="AV17" s="202">
        <v>712.31</v>
      </c>
      <c r="AW17" s="202">
        <f t="shared" si="4"/>
        <v>-2588.7182699801706</v>
      </c>
      <c r="AX17" s="250">
        <f t="shared" si="5"/>
        <v>3301.0282699801705</v>
      </c>
      <c r="AZ17" s="133">
        <f>(((G17/8)*2)*9)*2</f>
        <v>1273.5</v>
      </c>
      <c r="BA17" s="38">
        <f>9.03*30</f>
        <v>270.9</v>
      </c>
      <c r="BB17" s="180"/>
    </row>
    <row r="18" spans="1:54" ht="15">
      <c r="A18" s="32" t="s">
        <v>181</v>
      </c>
      <c r="B18" s="225" t="str">
        <f>+modsalario2021!B15</f>
        <v>L </v>
      </c>
      <c r="C18" s="284" t="str">
        <f>+modsalario2021!C15</f>
        <v>03189637725</v>
      </c>
      <c r="D18" s="257">
        <f>+modsalario2021!D15</f>
        <v>0</v>
      </c>
      <c r="E18" s="282" t="str">
        <f>+modsalario2021!E15</f>
        <v>VENO9606281XA</v>
      </c>
      <c r="F18" s="282" t="str">
        <f>+modsalario2021!F15</f>
        <v>VENO96062HCSLMS07</v>
      </c>
      <c r="G18" s="31">
        <f>+modsalario2021!I15</f>
        <v>176.07</v>
      </c>
      <c r="H18" s="31">
        <f>+modsalario2021!Q15</f>
        <v>194.98886301369862</v>
      </c>
      <c r="I18" s="147">
        <v>7</v>
      </c>
      <c r="J18" s="38">
        <f t="shared" si="6"/>
        <v>1232.49</v>
      </c>
      <c r="K18" s="38"/>
      <c r="L18" s="38">
        <f t="shared" si="7"/>
        <v>123.24900000000001</v>
      </c>
      <c r="M18" s="197">
        <v>0</v>
      </c>
      <c r="N18" s="133">
        <v>0</v>
      </c>
      <c r="O18" s="133"/>
      <c r="P18" s="133"/>
      <c r="Q18" s="133"/>
      <c r="R18" s="133"/>
      <c r="S18" s="38"/>
      <c r="T18" s="38">
        <f t="shared" si="8"/>
        <v>1355.739</v>
      </c>
      <c r="U18" s="31">
        <f>+ISRAbril2021!O45</f>
        <v>84.4357792</v>
      </c>
      <c r="V18" s="31">
        <f>+ISRAbril2021!P45</f>
        <v>67.83</v>
      </c>
      <c r="W18" s="31">
        <f t="shared" si="9"/>
        <v>16.6057792</v>
      </c>
      <c r="X18" s="31">
        <v>0</v>
      </c>
      <c r="Y18" s="134">
        <f t="shared" si="10"/>
        <v>32.4168984760274</v>
      </c>
      <c r="Z18" s="31"/>
      <c r="AA18" s="135"/>
      <c r="AB18" s="31">
        <f t="shared" si="0"/>
        <v>49.0226776760274</v>
      </c>
      <c r="AC18" s="31">
        <f>T18-AB18</f>
        <v>1306.7163223239727</v>
      </c>
      <c r="AD18" s="146">
        <v>200</v>
      </c>
      <c r="AE18" s="146">
        <v>0</v>
      </c>
      <c r="AF18" s="135">
        <f t="shared" si="11"/>
        <v>200</v>
      </c>
      <c r="AG18" s="204">
        <f>AC18-AF18</f>
        <v>1106.7163223239727</v>
      </c>
      <c r="AH18" s="212" t="s">
        <v>206</v>
      </c>
      <c r="AI18" s="201"/>
      <c r="AJ18" s="243" t="str">
        <f t="shared" si="12"/>
        <v>L </v>
      </c>
      <c r="AK18" s="244">
        <v>3169.2599999999998</v>
      </c>
      <c r="AL18" s="202">
        <v>84.56968</v>
      </c>
      <c r="AM18" s="202">
        <v>0</v>
      </c>
      <c r="AN18" s="202"/>
      <c r="AO18" s="202">
        <v>70.62252882277397</v>
      </c>
      <c r="AP18" s="244">
        <f t="shared" si="13"/>
        <v>155.19220882277398</v>
      </c>
      <c r="AQ18" s="244">
        <f t="shared" si="14"/>
        <v>3014.067791177226</v>
      </c>
      <c r="AR18" s="202">
        <f t="shared" si="15"/>
        <v>3014.067791177226</v>
      </c>
      <c r="AS18" s="217">
        <f t="shared" si="16"/>
        <v>-1707.3514688532532</v>
      </c>
      <c r="AT18" s="202">
        <f t="shared" si="3"/>
        <v>1306.7163223239727</v>
      </c>
      <c r="AV18" s="202">
        <v>1858.35</v>
      </c>
      <c r="AW18" s="202">
        <f t="shared" si="4"/>
        <v>-1707.3514688532532</v>
      </c>
      <c r="AX18" s="250">
        <f t="shared" si="5"/>
        <v>3565.701468853253</v>
      </c>
      <c r="AZ18" s="133">
        <f>((G18/8)*2)*12.75</f>
        <v>561.223125</v>
      </c>
      <c r="BA18" s="38">
        <v>0</v>
      </c>
      <c r="BB18" s="180"/>
    </row>
    <row r="19" spans="1:54" ht="15">
      <c r="A19" s="32" t="s">
        <v>181</v>
      </c>
      <c r="B19" s="225" t="str">
        <f>+modsalario2021!B16</f>
        <v>LL</v>
      </c>
      <c r="C19" s="284">
        <f>+modsalario2021!C16</f>
        <v>71027901744</v>
      </c>
      <c r="D19" s="257">
        <f>+modsalario2021!D16</f>
        <v>0</v>
      </c>
      <c r="E19" s="282" t="str">
        <f>+modsalario2021!E16</f>
        <v>GOFC791202AV7</v>
      </c>
      <c r="F19" s="282" t="str">
        <f>+modsalario2021!F16</f>
        <v>GOFC791202MCSMLL09</v>
      </c>
      <c r="G19" s="31">
        <f>+modsalario2021!I16</f>
        <v>152.42</v>
      </c>
      <c r="H19" s="31">
        <f>+modsalario2021!Q16</f>
        <v>170.0107193883578</v>
      </c>
      <c r="I19" s="147">
        <v>7</v>
      </c>
      <c r="J19" s="38">
        <f t="shared" si="6"/>
        <v>1066.9399999999998</v>
      </c>
      <c r="K19" s="38"/>
      <c r="L19" s="38">
        <f t="shared" si="7"/>
        <v>106.69399999999999</v>
      </c>
      <c r="M19" s="197">
        <v>0</v>
      </c>
      <c r="N19" s="38">
        <f>(162*1.2)*3</f>
        <v>583.2</v>
      </c>
      <c r="O19" s="38">
        <f>((G19*1.2)*8)*0.25</f>
        <v>365.80799999999994</v>
      </c>
      <c r="P19" s="133"/>
      <c r="Q19" s="133"/>
      <c r="R19" s="133"/>
      <c r="S19" s="38"/>
      <c r="T19" s="38">
        <f t="shared" si="8"/>
        <v>2122.642</v>
      </c>
      <c r="U19" s="31">
        <f>+ISRAbril2021!O46</f>
        <v>128.07491519999996</v>
      </c>
      <c r="V19" s="31">
        <f>+ISRAbril2021!P46</f>
        <v>0</v>
      </c>
      <c r="W19" s="31">
        <f t="shared" si="9"/>
        <v>128.07491519999996</v>
      </c>
      <c r="X19" s="31">
        <v>0</v>
      </c>
      <c r="Y19" s="134">
        <f t="shared" si="10"/>
        <v>28.26428209831449</v>
      </c>
      <c r="Z19" s="31">
        <v>0</v>
      </c>
      <c r="AA19" s="135"/>
      <c r="AB19" s="31">
        <f t="shared" si="0"/>
        <v>156.33919729831445</v>
      </c>
      <c r="AC19" s="31">
        <f>T19-AB19</f>
        <v>1966.3028027016853</v>
      </c>
      <c r="AD19" s="146">
        <v>300</v>
      </c>
      <c r="AE19" s="146">
        <v>0</v>
      </c>
      <c r="AF19" s="135">
        <f t="shared" si="11"/>
        <v>300</v>
      </c>
      <c r="AG19" s="204">
        <f>AC19-AF19</f>
        <v>1666.3028027016853</v>
      </c>
      <c r="AH19" s="212" t="s">
        <v>206</v>
      </c>
      <c r="AI19" s="201"/>
      <c r="AJ19" s="243" t="str">
        <f t="shared" si="12"/>
        <v>LL</v>
      </c>
      <c r="AK19" s="244">
        <v>3143.8559999999998</v>
      </c>
      <c r="AL19" s="202">
        <v>81.80572480000001</v>
      </c>
      <c r="AM19" s="202">
        <v>0</v>
      </c>
      <c r="AN19" s="202"/>
      <c r="AO19" s="202">
        <v>61.575757428470844</v>
      </c>
      <c r="AP19" s="244">
        <f t="shared" si="13"/>
        <v>143.38148222847084</v>
      </c>
      <c r="AQ19" s="244">
        <f t="shared" si="14"/>
        <v>3000.474517771529</v>
      </c>
      <c r="AR19" s="202">
        <f t="shared" si="15"/>
        <v>3000.474517771529</v>
      </c>
      <c r="AS19" s="217">
        <f t="shared" si="16"/>
        <v>-1034.1717150698437</v>
      </c>
      <c r="AT19" s="202">
        <f t="shared" si="3"/>
        <v>1966.3028027016853</v>
      </c>
      <c r="AV19" s="202">
        <v>712.31</v>
      </c>
      <c r="AW19" s="202">
        <f t="shared" si="4"/>
        <v>-1034.1717150698437</v>
      </c>
      <c r="AX19" s="250">
        <f t="shared" si="5"/>
        <v>1746.4817150698436</v>
      </c>
      <c r="AZ19" s="133">
        <f aca="true" t="shared" si="17" ref="AZ19:AZ24">(((G19/8)*2)*9)*2</f>
        <v>685.89</v>
      </c>
      <c r="BA19" s="38">
        <f aca="true" t="shared" si="18" ref="BA19:BA24">9.03*30</f>
        <v>270.9</v>
      </c>
      <c r="BB19" s="180"/>
    </row>
    <row r="20" spans="1:54" ht="15">
      <c r="A20" s="32" t="s">
        <v>181</v>
      </c>
      <c r="B20" s="225" t="str">
        <f>+modsalario2021!B17</f>
        <v>M</v>
      </c>
      <c r="C20" s="284">
        <f>+modsalario2021!C17</f>
        <v>71109015314</v>
      </c>
      <c r="D20" s="257">
        <f>+modsalario2021!D17</f>
        <v>0</v>
      </c>
      <c r="E20" s="282" t="str">
        <f>+modsalario2021!E17</f>
        <v>PEDN900323</v>
      </c>
      <c r="F20" s="282" t="str">
        <f>+modsalario2021!F17</f>
        <v>PEDN900323HCSRMS06</v>
      </c>
      <c r="G20" s="204">
        <f>+modsalario2021!I17</f>
        <v>152.42</v>
      </c>
      <c r="H20" s="204">
        <f>+modsalario2021!Q17</f>
        <v>170.01043767196674</v>
      </c>
      <c r="I20" s="147">
        <v>7</v>
      </c>
      <c r="J20" s="38">
        <f t="shared" si="6"/>
        <v>1066.9399999999998</v>
      </c>
      <c r="K20" s="38"/>
      <c r="L20" s="38">
        <f t="shared" si="7"/>
        <v>106.69399999999999</v>
      </c>
      <c r="M20" s="197">
        <v>0</v>
      </c>
      <c r="N20" s="133">
        <v>0</v>
      </c>
      <c r="O20" s="133">
        <v>0</v>
      </c>
      <c r="P20" s="151"/>
      <c r="Q20" s="151"/>
      <c r="R20" s="202"/>
      <c r="S20" s="202"/>
      <c r="T20" s="38">
        <f t="shared" si="8"/>
        <v>1173.6339999999998</v>
      </c>
      <c r="U20" s="31">
        <f>+ISRAbril2021!O47</f>
        <v>68.48433599999998</v>
      </c>
      <c r="V20" s="31">
        <f>+ISRAbril2021!P47</f>
        <v>74.83</v>
      </c>
      <c r="W20" s="31">
        <f t="shared" si="9"/>
        <v>-6.3456640000000135</v>
      </c>
      <c r="X20" s="31">
        <v>0</v>
      </c>
      <c r="Y20" s="134">
        <f t="shared" si="10"/>
        <v>28.264235262964473</v>
      </c>
      <c r="Z20" s="31"/>
      <c r="AA20" s="135"/>
      <c r="AB20" s="31">
        <f t="shared" si="0"/>
        <v>21.91857126296446</v>
      </c>
      <c r="AC20" s="31">
        <f>T20-AB20</f>
        <v>1151.7154287370354</v>
      </c>
      <c r="AD20" s="146">
        <v>300</v>
      </c>
      <c r="AE20" s="146">
        <v>0</v>
      </c>
      <c r="AF20" s="135">
        <f t="shared" si="11"/>
        <v>300</v>
      </c>
      <c r="AG20" s="204">
        <f>AC20-AF20</f>
        <v>851.7154287370354</v>
      </c>
      <c r="AH20" s="212" t="s">
        <v>206</v>
      </c>
      <c r="AI20" s="201"/>
      <c r="AJ20" s="243" t="str">
        <f t="shared" si="12"/>
        <v>M</v>
      </c>
      <c r="AK20" s="244">
        <v>2743.56</v>
      </c>
      <c r="AL20" s="202">
        <v>18.003520000000037</v>
      </c>
      <c r="AM20" s="202">
        <v>0</v>
      </c>
      <c r="AN20" s="202"/>
      <c r="AO20" s="202">
        <v>61.57565539431545</v>
      </c>
      <c r="AP20" s="244">
        <f t="shared" si="13"/>
        <v>79.57917539431548</v>
      </c>
      <c r="AQ20" s="244">
        <f t="shared" si="14"/>
        <v>2663.9808246056846</v>
      </c>
      <c r="AR20" s="202">
        <f t="shared" si="15"/>
        <v>2663.9808246056846</v>
      </c>
      <c r="AS20" s="217">
        <f t="shared" si="16"/>
        <v>-1512.2653958686492</v>
      </c>
      <c r="AT20" s="202">
        <f t="shared" si="3"/>
        <v>1151.7154287370354</v>
      </c>
      <c r="AV20" s="202">
        <v>0</v>
      </c>
      <c r="AW20" s="202">
        <f t="shared" si="4"/>
        <v>-1512.2653958686492</v>
      </c>
      <c r="AX20" s="217">
        <f t="shared" si="5"/>
        <v>1512.2653958686492</v>
      </c>
      <c r="AZ20" s="133">
        <f t="shared" si="17"/>
        <v>685.89</v>
      </c>
      <c r="BA20" s="38">
        <f t="shared" si="18"/>
        <v>270.9</v>
      </c>
      <c r="BB20" s="180"/>
    </row>
    <row r="21" spans="1:54" ht="15">
      <c r="A21" s="32" t="s">
        <v>181</v>
      </c>
      <c r="B21" s="225" t="str">
        <f>+modsalario2021!B18</f>
        <v>N</v>
      </c>
      <c r="C21" s="284">
        <f>+modsalario2021!C18</f>
        <v>10149124587</v>
      </c>
      <c r="D21" s="257">
        <f>+modsalario2021!D18</f>
        <v>0</v>
      </c>
      <c r="E21" s="282" t="str">
        <f>+modsalario2021!E18</f>
        <v>CUVC911128NT3</v>
      </c>
      <c r="F21" s="282" t="str">
        <f>+modsalario2021!F18</f>
        <v>CUVC911128MCSRRR01</v>
      </c>
      <c r="G21" s="31">
        <f>+modsalario2021!I18</f>
        <v>152.42</v>
      </c>
      <c r="H21" s="31">
        <f>+modsalario2021!Q18</f>
        <v>169.8017808219178</v>
      </c>
      <c r="I21" s="147">
        <v>7</v>
      </c>
      <c r="J21" s="38">
        <f t="shared" si="6"/>
        <v>1066.9399999999998</v>
      </c>
      <c r="K21" s="38"/>
      <c r="L21" s="38">
        <f t="shared" si="7"/>
        <v>106.69399999999999</v>
      </c>
      <c r="M21" s="197">
        <v>0</v>
      </c>
      <c r="N21" s="196"/>
      <c r="O21" s="38">
        <f>((G21*1.2)*14)*0.25</f>
        <v>640.1639999999999</v>
      </c>
      <c r="P21" s="196"/>
      <c r="Q21" s="196"/>
      <c r="R21" s="133"/>
      <c r="S21" s="38"/>
      <c r="T21" s="38">
        <f t="shared" si="8"/>
        <v>1813.7979999999998</v>
      </c>
      <c r="U21" s="31">
        <f>+ISRAbril2021!O48</f>
        <v>68.484336</v>
      </c>
      <c r="V21" s="31">
        <f>+ISRAbril2021!P48</f>
        <v>74.83</v>
      </c>
      <c r="W21" s="31">
        <f t="shared" si="9"/>
        <v>-6.345663999999999</v>
      </c>
      <c r="X21" s="31">
        <v>0</v>
      </c>
      <c r="Y21" s="134">
        <f t="shared" si="10"/>
        <v>28.22954606164383</v>
      </c>
      <c r="Z21" s="195"/>
      <c r="AA21" s="195">
        <v>0</v>
      </c>
      <c r="AB21" s="31">
        <f t="shared" si="0"/>
        <v>21.88388206164383</v>
      </c>
      <c r="AC21" s="195">
        <f t="shared" si="1"/>
        <v>1791.914117938356</v>
      </c>
      <c r="AD21" s="146">
        <v>0</v>
      </c>
      <c r="AE21" s="146">
        <v>0</v>
      </c>
      <c r="AF21" s="135">
        <f t="shared" si="11"/>
        <v>0</v>
      </c>
      <c r="AG21" s="218">
        <f t="shared" si="2"/>
        <v>1791.914117938356</v>
      </c>
      <c r="AH21" s="213" t="s">
        <v>199</v>
      </c>
      <c r="AI21" s="201"/>
      <c r="AJ21" s="243" t="str">
        <f t="shared" si="12"/>
        <v>N</v>
      </c>
      <c r="AK21" s="244">
        <v>3383.7239999999997</v>
      </c>
      <c r="AL21" s="202">
        <v>107.9033632</v>
      </c>
      <c r="AM21" s="202">
        <v>0</v>
      </c>
      <c r="AN21" s="202">
        <v>0</v>
      </c>
      <c r="AO21" s="202">
        <v>61.50008249143835</v>
      </c>
      <c r="AP21" s="244">
        <f t="shared" si="13"/>
        <v>169.40344569143835</v>
      </c>
      <c r="AQ21" s="244">
        <f t="shared" si="14"/>
        <v>3214.3205543085614</v>
      </c>
      <c r="AR21" s="202">
        <f t="shared" si="15"/>
        <v>3214.3205543085614</v>
      </c>
      <c r="AS21" s="217">
        <f t="shared" si="16"/>
        <v>-1422.4064363702055</v>
      </c>
      <c r="AT21" s="202">
        <f t="shared" si="3"/>
        <v>1791.914117938356</v>
      </c>
      <c r="AV21" s="202">
        <v>1591.44</v>
      </c>
      <c r="AW21" s="202">
        <f t="shared" si="4"/>
        <v>-1422.4064363702055</v>
      </c>
      <c r="AX21" s="250">
        <f t="shared" si="5"/>
        <v>3013.8464363702055</v>
      </c>
      <c r="AZ21" s="133">
        <f t="shared" si="17"/>
        <v>685.89</v>
      </c>
      <c r="BA21" s="38">
        <f t="shared" si="18"/>
        <v>270.9</v>
      </c>
      <c r="BB21" s="180"/>
    </row>
    <row r="22" spans="1:54" ht="15">
      <c r="A22" s="32" t="s">
        <v>181</v>
      </c>
      <c r="B22" s="225" t="str">
        <f>+modsalario2021!B19</f>
        <v>Ñ</v>
      </c>
      <c r="C22" s="284">
        <f>+modsalario2021!C19</f>
        <v>0</v>
      </c>
      <c r="D22" s="257">
        <f>+modsalario2021!D19</f>
        <v>0</v>
      </c>
      <c r="E22" s="282">
        <f>+modsalario2021!E19</f>
        <v>0</v>
      </c>
      <c r="F22" s="282">
        <f>+modsalario2021!F19</f>
        <v>0</v>
      </c>
      <c r="G22" s="204">
        <f>+modsalario2021!I19</f>
        <v>152.42</v>
      </c>
      <c r="H22" s="204">
        <f>+modsalario2021!Q19</f>
        <v>169.8017808219178</v>
      </c>
      <c r="I22" s="147">
        <v>7</v>
      </c>
      <c r="J22" s="38">
        <f t="shared" si="6"/>
        <v>1066.9399999999998</v>
      </c>
      <c r="K22" s="38"/>
      <c r="L22" s="38">
        <f t="shared" si="7"/>
        <v>106.69399999999999</v>
      </c>
      <c r="M22" s="197">
        <v>0</v>
      </c>
      <c r="N22" s="38">
        <v>0</v>
      </c>
      <c r="O22" s="38">
        <f>((G22*1.2)*6)*0.25</f>
        <v>274.35599999999994</v>
      </c>
      <c r="P22" s="38">
        <v>0</v>
      </c>
      <c r="Q22" s="38"/>
      <c r="R22" s="133"/>
      <c r="S22" s="38"/>
      <c r="T22" s="38">
        <f t="shared" si="8"/>
        <v>1447.9899999999998</v>
      </c>
      <c r="U22" s="31">
        <f>+ISRAbril2021!O49</f>
        <v>68.48433599999998</v>
      </c>
      <c r="V22" s="31">
        <f>+ISRAbril2021!P49</f>
        <v>74.83</v>
      </c>
      <c r="W22" s="31">
        <f t="shared" si="9"/>
        <v>-6.3456640000000135</v>
      </c>
      <c r="X22" s="31">
        <v>0</v>
      </c>
      <c r="Y22" s="134">
        <f t="shared" si="10"/>
        <v>28.22954606164383</v>
      </c>
      <c r="Z22" s="195"/>
      <c r="AA22" s="195"/>
      <c r="AB22" s="31">
        <f t="shared" si="0"/>
        <v>21.883882061643817</v>
      </c>
      <c r="AC22" s="195">
        <f t="shared" si="1"/>
        <v>1426.106117938356</v>
      </c>
      <c r="AD22" s="146">
        <v>300</v>
      </c>
      <c r="AE22" s="146">
        <v>0</v>
      </c>
      <c r="AF22" s="135">
        <f t="shared" si="11"/>
        <v>300</v>
      </c>
      <c r="AG22" s="218">
        <f t="shared" si="2"/>
        <v>1126.106117938356</v>
      </c>
      <c r="AH22" s="213" t="s">
        <v>199</v>
      </c>
      <c r="AI22" s="201"/>
      <c r="AJ22" s="243" t="str">
        <f t="shared" si="12"/>
        <v>Ñ</v>
      </c>
      <c r="AK22" s="244">
        <v>2789.2859999999996</v>
      </c>
      <c r="AL22" s="202">
        <v>22.978508799999986</v>
      </c>
      <c r="AM22" s="202">
        <v>0</v>
      </c>
      <c r="AN22" s="202"/>
      <c r="AO22" s="202">
        <v>61.50008249143835</v>
      </c>
      <c r="AP22" s="244">
        <f t="shared" si="13"/>
        <v>84.47859129143833</v>
      </c>
      <c r="AQ22" s="244">
        <f t="shared" si="14"/>
        <v>2704.807408708561</v>
      </c>
      <c r="AR22" s="202">
        <f t="shared" si="15"/>
        <v>2704.807408708561</v>
      </c>
      <c r="AS22" s="217">
        <f t="shared" si="16"/>
        <v>-1278.701290770205</v>
      </c>
      <c r="AT22" s="202">
        <f t="shared" si="3"/>
        <v>1426.106117938356</v>
      </c>
      <c r="AV22" s="202">
        <v>2406.04</v>
      </c>
      <c r="AW22" s="202">
        <f t="shared" si="4"/>
        <v>-1278.701290770205</v>
      </c>
      <c r="AX22" s="250">
        <f t="shared" si="5"/>
        <v>3684.741290770205</v>
      </c>
      <c r="AZ22" s="133">
        <f t="shared" si="17"/>
        <v>685.89</v>
      </c>
      <c r="BA22" s="38">
        <f t="shared" si="18"/>
        <v>270.9</v>
      </c>
      <c r="BB22" s="180"/>
    </row>
    <row r="23" spans="1:54" ht="15">
      <c r="A23" s="32" t="s">
        <v>181</v>
      </c>
      <c r="B23" s="225" t="str">
        <f>+modsalario2021!B20</f>
        <v>O</v>
      </c>
      <c r="C23" s="284" t="str">
        <f>+modsalario2021!C20</f>
        <v>04199721145</v>
      </c>
      <c r="D23" s="257">
        <f>+modsalario2021!D20</f>
        <v>0</v>
      </c>
      <c r="E23" s="282" t="str">
        <f>+modsalario2021!E20</f>
        <v>VACD971205EPA</v>
      </c>
      <c r="F23" s="282" t="str">
        <f>+modsalario2021!F20</f>
        <v>VACD971205MCSZHN26</v>
      </c>
      <c r="G23" s="204">
        <f>+modsalario2021!I20</f>
        <v>176.07</v>
      </c>
      <c r="H23" s="204">
        <f>+modsalario2021!Q20</f>
        <v>194.7476712328767</v>
      </c>
      <c r="I23" s="147">
        <v>7</v>
      </c>
      <c r="J23" s="38">
        <f t="shared" si="6"/>
        <v>1232.49</v>
      </c>
      <c r="K23" s="38"/>
      <c r="L23" s="38">
        <f t="shared" si="7"/>
        <v>123.24900000000001</v>
      </c>
      <c r="M23" s="197">
        <v>0</v>
      </c>
      <c r="N23" s="38"/>
      <c r="O23" s="38">
        <f>((G23*1.2)*6)*0.25</f>
        <v>316.926</v>
      </c>
      <c r="P23" s="38"/>
      <c r="Q23" s="38"/>
      <c r="R23" s="133"/>
      <c r="S23" s="38"/>
      <c r="T23" s="38">
        <f t="shared" si="8"/>
        <v>1672.665</v>
      </c>
      <c r="U23" s="31">
        <f>+ISRAbril2021!O50</f>
        <v>84.4357792</v>
      </c>
      <c r="V23" s="31">
        <f>+ISRAbril2021!P50</f>
        <v>67.83</v>
      </c>
      <c r="W23" s="31">
        <f t="shared" si="9"/>
        <v>16.6057792</v>
      </c>
      <c r="X23" s="31">
        <v>0</v>
      </c>
      <c r="Y23" s="134">
        <f t="shared" si="10"/>
        <v>32.376800342465756</v>
      </c>
      <c r="Z23" s="31"/>
      <c r="AA23" s="146"/>
      <c r="AB23" s="31">
        <f t="shared" si="0"/>
        <v>48.98257954246576</v>
      </c>
      <c r="AC23" s="31">
        <f>T23-AB23</f>
        <v>1623.6824204575341</v>
      </c>
      <c r="AD23" s="146">
        <v>250</v>
      </c>
      <c r="AE23" s="146">
        <v>288.24</v>
      </c>
      <c r="AF23" s="135">
        <f t="shared" si="11"/>
        <v>538.24</v>
      </c>
      <c r="AG23" s="204">
        <f t="shared" si="2"/>
        <v>1085.4424204575341</v>
      </c>
      <c r="AH23" s="212" t="s">
        <v>206</v>
      </c>
      <c r="AI23" s="201"/>
      <c r="AJ23" s="243" t="str">
        <f t="shared" si="12"/>
        <v>O</v>
      </c>
      <c r="AK23" s="245">
        <v>3274.902</v>
      </c>
      <c r="AL23" s="202">
        <v>96.06352960000004</v>
      </c>
      <c r="AM23" s="202">
        <v>0</v>
      </c>
      <c r="AN23" s="202"/>
      <c r="AO23" s="202">
        <v>70.53517217465753</v>
      </c>
      <c r="AP23" s="244">
        <f t="shared" si="13"/>
        <v>166.59870177465757</v>
      </c>
      <c r="AQ23" s="244">
        <f t="shared" si="14"/>
        <v>3108.3032982253426</v>
      </c>
      <c r="AR23" s="202">
        <f t="shared" si="15"/>
        <v>3108.3032982253426</v>
      </c>
      <c r="AS23" s="217">
        <f t="shared" si="16"/>
        <v>-1484.6208777678085</v>
      </c>
      <c r="AT23" s="202">
        <f t="shared" si="3"/>
        <v>1623.6824204575341</v>
      </c>
      <c r="AV23" s="202">
        <v>1043.4</v>
      </c>
      <c r="AW23" s="202">
        <f t="shared" si="4"/>
        <v>-1484.6208777678085</v>
      </c>
      <c r="AX23" s="250">
        <f t="shared" si="5"/>
        <v>2528.0208777678085</v>
      </c>
      <c r="AZ23" s="133">
        <f t="shared" si="17"/>
        <v>792.3149999999999</v>
      </c>
      <c r="BA23" s="38">
        <f t="shared" si="18"/>
        <v>270.9</v>
      </c>
      <c r="BB23" s="180"/>
    </row>
    <row r="24" spans="1:54" s="214" customFormat="1" ht="15">
      <c r="A24" s="32" t="s">
        <v>181</v>
      </c>
      <c r="B24" s="225" t="str">
        <f>+modsalario2021!B21</f>
        <v>P </v>
      </c>
      <c r="C24" s="277" t="str">
        <f>+modsalario2021!C21</f>
        <v>05210394523</v>
      </c>
      <c r="D24" s="277">
        <f>+modsalario2021!D21</f>
        <v>0</v>
      </c>
      <c r="E24" s="277" t="str">
        <f>+modsalario2021!E21</f>
        <v>CUNJ030108</v>
      </c>
      <c r="F24" s="277" t="str">
        <f>+modsalario2021!F21</f>
        <v>CUNJ030108HCSRTVA2</v>
      </c>
      <c r="G24" s="204">
        <f>+modsalario2021!I21</f>
        <v>142.5</v>
      </c>
      <c r="H24" s="204">
        <f>+modsalario2021!Q21</f>
        <v>159.14301369863014</v>
      </c>
      <c r="I24" s="147">
        <v>7</v>
      </c>
      <c r="J24" s="221">
        <f t="shared" si="6"/>
        <v>997.5</v>
      </c>
      <c r="K24" s="38"/>
      <c r="L24" s="38">
        <f t="shared" si="7"/>
        <v>99.75</v>
      </c>
      <c r="M24" s="197">
        <v>0</v>
      </c>
      <c r="N24" s="221">
        <v>0</v>
      </c>
      <c r="O24" s="221">
        <f>N24*0.25</f>
        <v>0</v>
      </c>
      <c r="P24" s="221"/>
      <c r="Q24" s="221">
        <v>0</v>
      </c>
      <c r="R24" s="202"/>
      <c r="S24" s="202"/>
      <c r="T24" s="38">
        <f t="shared" si="8"/>
        <v>1097.25</v>
      </c>
      <c r="U24" s="204">
        <f>+ISRAbril2021!O51</f>
        <v>63.59576</v>
      </c>
      <c r="V24" s="204">
        <f>+ISRAbril2021!P51</f>
        <v>74.83</v>
      </c>
      <c r="W24" s="31">
        <v>0</v>
      </c>
      <c r="X24" s="31">
        <f>U24-V24</f>
        <v>-11.23424</v>
      </c>
      <c r="Y24" s="134">
        <f t="shared" si="10"/>
        <v>26.457526027397265</v>
      </c>
      <c r="Z24" s="204"/>
      <c r="AA24" s="210"/>
      <c r="AB24" s="204">
        <f t="shared" si="0"/>
        <v>15.223286027397265</v>
      </c>
      <c r="AC24" s="204">
        <f>T24-AB24</f>
        <v>1082.0267139726027</v>
      </c>
      <c r="AD24" s="146">
        <v>300</v>
      </c>
      <c r="AE24" s="146">
        <v>91.88</v>
      </c>
      <c r="AF24" s="223">
        <f t="shared" si="11"/>
        <v>391.88</v>
      </c>
      <c r="AG24" s="218">
        <f t="shared" si="2"/>
        <v>690.1467139726027</v>
      </c>
      <c r="AH24" s="213" t="s">
        <v>245</v>
      </c>
      <c r="AI24" s="231"/>
      <c r="AJ24" s="243" t="str">
        <f t="shared" si="12"/>
        <v>P </v>
      </c>
      <c r="AK24" s="244">
        <v>2340.5625</v>
      </c>
      <c r="AL24" s="217">
        <v>0</v>
      </c>
      <c r="AM24" s="217">
        <v>-24.756639999999976</v>
      </c>
      <c r="AN24" s="217">
        <v>0</v>
      </c>
      <c r="AO24" s="217">
        <v>57.63961027397261</v>
      </c>
      <c r="AP24" s="244">
        <f t="shared" si="13"/>
        <v>32.88297027397263</v>
      </c>
      <c r="AQ24" s="244">
        <f t="shared" si="14"/>
        <v>2307.6795297260273</v>
      </c>
      <c r="AR24" s="202">
        <f t="shared" si="15"/>
        <v>2307.6795297260273</v>
      </c>
      <c r="AS24" s="217">
        <f t="shared" si="16"/>
        <v>-1225.6528157534246</v>
      </c>
      <c r="AT24" s="202">
        <f t="shared" si="3"/>
        <v>1082.0267139726027</v>
      </c>
      <c r="AV24" s="202">
        <v>0</v>
      </c>
      <c r="AW24" s="217">
        <f t="shared" si="4"/>
        <v>-1225.6528157534246</v>
      </c>
      <c r="AX24" s="217">
        <f t="shared" si="5"/>
        <v>1225.6528157534246</v>
      </c>
      <c r="AZ24" s="133">
        <f t="shared" si="17"/>
        <v>641.25</v>
      </c>
      <c r="BA24" s="38">
        <f t="shared" si="18"/>
        <v>270.9</v>
      </c>
      <c r="BB24" s="235"/>
    </row>
    <row r="25" spans="1:54" ht="15">
      <c r="A25" s="32" t="s">
        <v>181</v>
      </c>
      <c r="B25" s="225" t="str">
        <f>+modsalario2021!B22</f>
        <v>Q</v>
      </c>
      <c r="C25" s="284" t="str">
        <f>+modsalario2021!C22</f>
        <v>0218809848</v>
      </c>
      <c r="D25" s="257">
        <f>+modsalario2021!D22</f>
        <v>0</v>
      </c>
      <c r="E25" s="282" t="str">
        <f>+modsalario2021!E22</f>
        <v>LOVE881118LG2</v>
      </c>
      <c r="F25" s="282" t="str">
        <f>+modsalario2021!F22</f>
        <v>LOVE881118HCSPZR02</v>
      </c>
      <c r="G25" s="204">
        <f>+modsalario2021!I22</f>
        <v>152.42</v>
      </c>
      <c r="H25" s="204">
        <f>+modsalario2021!Q22</f>
        <v>169.8017808219178</v>
      </c>
      <c r="I25" s="147">
        <v>7</v>
      </c>
      <c r="J25" s="38">
        <f>G25*I25</f>
        <v>1066.9399999999998</v>
      </c>
      <c r="K25" s="38"/>
      <c r="L25" s="38">
        <f t="shared" si="7"/>
        <v>106.69399999999999</v>
      </c>
      <c r="M25" s="197">
        <v>0</v>
      </c>
      <c r="N25" s="38">
        <v>0</v>
      </c>
      <c r="O25" s="38"/>
      <c r="P25" s="38">
        <v>0</v>
      </c>
      <c r="Q25" s="38"/>
      <c r="R25" s="133"/>
      <c r="S25" s="38"/>
      <c r="T25" s="38">
        <f t="shared" si="8"/>
        <v>1173.6339999999998</v>
      </c>
      <c r="U25" s="31">
        <f>+ISRAbril2021!O52</f>
        <v>68.48433599999998</v>
      </c>
      <c r="V25" s="31">
        <f>+ISRAbril2021!P52</f>
        <v>74.83</v>
      </c>
      <c r="W25" s="31">
        <f t="shared" si="9"/>
        <v>-6.3456640000000135</v>
      </c>
      <c r="X25" s="31">
        <v>0</v>
      </c>
      <c r="Y25" s="134">
        <f t="shared" si="10"/>
        <v>28.22954606164383</v>
      </c>
      <c r="Z25" s="31"/>
      <c r="AA25" s="146"/>
      <c r="AB25" s="204">
        <f t="shared" si="0"/>
        <v>21.883882061643817</v>
      </c>
      <c r="AC25" s="31">
        <f>T25-AB25</f>
        <v>1151.750117938356</v>
      </c>
      <c r="AD25" s="146">
        <v>0</v>
      </c>
      <c r="AE25" s="146">
        <v>0</v>
      </c>
      <c r="AF25" s="135">
        <f t="shared" si="11"/>
        <v>0</v>
      </c>
      <c r="AG25" s="204">
        <f t="shared" si="2"/>
        <v>1151.750117938356</v>
      </c>
      <c r="AH25" s="59" t="s">
        <v>199</v>
      </c>
      <c r="AI25" s="201"/>
      <c r="AJ25" s="243" t="str">
        <f t="shared" si="12"/>
        <v>Q</v>
      </c>
      <c r="AK25" s="245">
        <v>2560.6559999999995</v>
      </c>
      <c r="AL25" s="202">
        <v>0</v>
      </c>
      <c r="AM25" s="202">
        <v>-10.670656000000008</v>
      </c>
      <c r="AN25" s="202"/>
      <c r="AO25" s="202">
        <v>61.50008249143835</v>
      </c>
      <c r="AP25" s="244">
        <f t="shared" si="13"/>
        <v>50.82942649143834</v>
      </c>
      <c r="AQ25" s="244">
        <f t="shared" si="14"/>
        <v>2509.826573508561</v>
      </c>
      <c r="AR25" s="202">
        <f t="shared" si="15"/>
        <v>2509.826573508561</v>
      </c>
      <c r="AS25" s="217">
        <f t="shared" si="16"/>
        <v>-1358.076455570205</v>
      </c>
      <c r="AT25" s="202">
        <f t="shared" si="3"/>
        <v>1151.750117938356</v>
      </c>
      <c r="AV25" s="202">
        <v>1043.4</v>
      </c>
      <c r="AW25" s="217">
        <f t="shared" si="4"/>
        <v>-1358.076455570205</v>
      </c>
      <c r="AX25" s="250">
        <f t="shared" si="5"/>
        <v>2401.476455570205</v>
      </c>
      <c r="AZ25" s="133">
        <f>((G25/8)*2)*17.2</f>
        <v>655.406</v>
      </c>
      <c r="BA25" s="38">
        <v>0</v>
      </c>
      <c r="BB25" s="180"/>
    </row>
    <row r="26" spans="1:54" s="214" customFormat="1" ht="15">
      <c r="A26" s="32" t="s">
        <v>181</v>
      </c>
      <c r="B26" s="225" t="str">
        <f>+modsalario2021!B25</f>
        <v>T</v>
      </c>
      <c r="C26" s="267" t="str">
        <f>+modsalario2021!C25</f>
        <v>71139446869</v>
      </c>
      <c r="D26" s="277">
        <f>+modsalario2021!D25</f>
        <v>0</v>
      </c>
      <c r="E26" s="277" t="str">
        <f>+modsalario2021!E25</f>
        <v>HEFJ9411283W3</v>
      </c>
      <c r="F26" s="277" t="str">
        <f>+modsalario2021!F25</f>
        <v>HEFJ941128HCSRRR08</v>
      </c>
      <c r="G26" s="204">
        <f>+modsalario2021!I25</f>
        <v>142.5</v>
      </c>
      <c r="H26" s="204">
        <f>modsalario2021!Q25</f>
        <v>159.14301369863014</v>
      </c>
      <c r="I26" s="147">
        <v>7</v>
      </c>
      <c r="J26" s="221">
        <f t="shared" si="6"/>
        <v>997.5</v>
      </c>
      <c r="K26" s="38"/>
      <c r="L26" s="38">
        <f t="shared" si="7"/>
        <v>99.75</v>
      </c>
      <c r="M26" s="197">
        <v>0</v>
      </c>
      <c r="N26" s="221">
        <v>0</v>
      </c>
      <c r="O26" s="221">
        <v>0</v>
      </c>
      <c r="P26" s="221">
        <v>0</v>
      </c>
      <c r="Q26" s="221"/>
      <c r="R26" s="133"/>
      <c r="S26" s="38"/>
      <c r="T26" s="38">
        <f t="shared" si="8"/>
        <v>1097.25</v>
      </c>
      <c r="U26" s="204">
        <f>+ISRAbril2021!O53</f>
        <v>63.59576</v>
      </c>
      <c r="V26" s="204">
        <f>+ISRAbril2021!P53</f>
        <v>74.83</v>
      </c>
      <c r="W26" s="31">
        <f t="shared" si="9"/>
        <v>-11.23424</v>
      </c>
      <c r="X26" s="31">
        <v>0</v>
      </c>
      <c r="Y26" s="134">
        <f t="shared" si="10"/>
        <v>26.457526027397265</v>
      </c>
      <c r="Z26" s="204"/>
      <c r="AA26" s="210"/>
      <c r="AB26" s="204">
        <f t="shared" si="0"/>
        <v>15.223286027397265</v>
      </c>
      <c r="AC26" s="204">
        <f>T26-AB26</f>
        <v>1082.0267139726027</v>
      </c>
      <c r="AD26" s="146">
        <v>0</v>
      </c>
      <c r="AE26" s="146">
        <v>0</v>
      </c>
      <c r="AF26" s="135">
        <f t="shared" si="11"/>
        <v>0</v>
      </c>
      <c r="AG26" s="204">
        <f t="shared" si="2"/>
        <v>1082.0267139726027</v>
      </c>
      <c r="AH26" s="59" t="s">
        <v>199</v>
      </c>
      <c r="AI26" s="231"/>
      <c r="AJ26" s="243" t="str">
        <f t="shared" si="12"/>
        <v>T</v>
      </c>
      <c r="AK26" s="244">
        <v>2565</v>
      </c>
      <c r="AL26" s="217">
        <v>0</v>
      </c>
      <c r="AM26" s="217">
        <v>-10.39264</v>
      </c>
      <c r="AN26" s="217"/>
      <c r="AO26" s="217">
        <v>57.63961027397261</v>
      </c>
      <c r="AP26" s="244">
        <f t="shared" si="13"/>
        <v>47.24697027397261</v>
      </c>
      <c r="AQ26" s="244">
        <f t="shared" si="14"/>
        <v>2517.7530297260273</v>
      </c>
      <c r="AR26" s="202">
        <f t="shared" si="15"/>
        <v>2517.7530297260273</v>
      </c>
      <c r="AS26" s="217">
        <f t="shared" si="16"/>
        <v>-1435.7263157534246</v>
      </c>
      <c r="AT26" s="202">
        <f t="shared" si="3"/>
        <v>1082.0267139726027</v>
      </c>
      <c r="AV26" s="202">
        <v>712.31</v>
      </c>
      <c r="AW26" s="217">
        <f t="shared" si="4"/>
        <v>-1435.7263157534246</v>
      </c>
      <c r="AX26" s="250">
        <f t="shared" si="5"/>
        <v>2148.036315753425</v>
      </c>
      <c r="AZ26" s="133">
        <f>(((G26/8)*2)*9)*2</f>
        <v>641.25</v>
      </c>
      <c r="BA26" s="38">
        <f>9.03*30</f>
        <v>270.9</v>
      </c>
      <c r="BB26" s="235"/>
    </row>
    <row r="27" spans="1:54" ht="15">
      <c r="A27" s="32" t="s">
        <v>181</v>
      </c>
      <c r="B27" s="225" t="str">
        <f>+modsalario2021!B26</f>
        <v>U</v>
      </c>
      <c r="C27" s="267" t="str">
        <f>+modsalario2021!C26</f>
        <v>68159698767</v>
      </c>
      <c r="D27" s="277">
        <f>+modsalario2021!D26</f>
        <v>0</v>
      </c>
      <c r="E27" s="277" t="str">
        <f>+modsalario2021!E26</f>
        <v>RUAB960920383</v>
      </c>
      <c r="F27" s="277" t="str">
        <f>+modsalario2021!F26</f>
        <v>RUAB960920MVZDRL08</v>
      </c>
      <c r="G27" s="204">
        <f>+modsalario2021!I26</f>
        <v>176.07</v>
      </c>
      <c r="H27" s="204">
        <f>+modsalario2021!Q26</f>
        <v>194.50647945205478</v>
      </c>
      <c r="I27" s="147">
        <v>7</v>
      </c>
      <c r="J27" s="38">
        <f t="shared" si="6"/>
        <v>1232.49</v>
      </c>
      <c r="K27" s="38"/>
      <c r="L27" s="38">
        <f t="shared" si="7"/>
        <v>123.24900000000001</v>
      </c>
      <c r="M27" s="197">
        <v>0</v>
      </c>
      <c r="N27" s="38">
        <v>0</v>
      </c>
      <c r="O27" s="38">
        <v>0</v>
      </c>
      <c r="P27" s="148">
        <v>0</v>
      </c>
      <c r="Q27" s="38"/>
      <c r="R27" s="202"/>
      <c r="S27" s="202"/>
      <c r="T27" s="38">
        <f t="shared" si="8"/>
        <v>1355.739</v>
      </c>
      <c r="U27" s="31">
        <f>+ISRAbril2021!O54</f>
        <v>84.4357792</v>
      </c>
      <c r="V27" s="31">
        <f>+ISRAbril2021!P54</f>
        <v>67.83</v>
      </c>
      <c r="W27" s="31">
        <f t="shared" si="9"/>
        <v>16.6057792</v>
      </c>
      <c r="X27" s="31">
        <v>0</v>
      </c>
      <c r="Y27" s="134">
        <f t="shared" si="10"/>
        <v>32.33670220890411</v>
      </c>
      <c r="Z27" s="31">
        <v>0</v>
      </c>
      <c r="AA27" s="146"/>
      <c r="AB27" s="204">
        <f t="shared" si="0"/>
        <v>48.94248140890411</v>
      </c>
      <c r="AC27" s="31">
        <f>T27-AB27</f>
        <v>1306.796518591096</v>
      </c>
      <c r="AD27" s="146">
        <v>200</v>
      </c>
      <c r="AE27" s="146">
        <v>193.42</v>
      </c>
      <c r="AF27" s="135">
        <f t="shared" si="11"/>
        <v>393.41999999999996</v>
      </c>
      <c r="AG27" s="218">
        <f t="shared" si="2"/>
        <v>913.376518591096</v>
      </c>
      <c r="AH27" s="59" t="s">
        <v>199</v>
      </c>
      <c r="AI27" s="230"/>
      <c r="AJ27" s="243" t="str">
        <f t="shared" si="12"/>
        <v>U</v>
      </c>
      <c r="AK27" s="244">
        <v>3169.2599999999998</v>
      </c>
      <c r="AL27" s="202">
        <v>84.56968</v>
      </c>
      <c r="AM27" s="202">
        <v>0</v>
      </c>
      <c r="AN27" s="202"/>
      <c r="AO27" s="202">
        <v>50.58</v>
      </c>
      <c r="AP27" s="244">
        <f t="shared" si="13"/>
        <v>135.14968</v>
      </c>
      <c r="AQ27" s="244">
        <f t="shared" si="14"/>
        <v>3034.11032</v>
      </c>
      <c r="AR27" s="202">
        <f t="shared" si="15"/>
        <v>3034.11032</v>
      </c>
      <c r="AS27" s="217">
        <f t="shared" si="16"/>
        <v>-1727.3138014089038</v>
      </c>
      <c r="AT27" s="202">
        <f t="shared" si="3"/>
        <v>1306.796518591096</v>
      </c>
      <c r="AV27" s="202">
        <v>0</v>
      </c>
      <c r="AW27" s="217">
        <f t="shared" si="4"/>
        <v>-1727.3138014089038</v>
      </c>
      <c r="AX27" s="217">
        <f t="shared" si="5"/>
        <v>1727.3138014089038</v>
      </c>
      <c r="AZ27" s="133">
        <v>0</v>
      </c>
      <c r="BA27" s="38">
        <v>0</v>
      </c>
      <c r="BB27" s="180"/>
    </row>
    <row r="28" spans="1:54" ht="15">
      <c r="A28" s="32" t="s">
        <v>181</v>
      </c>
      <c r="B28" s="225" t="str">
        <f>+modsalario2021!B24</f>
        <v>S</v>
      </c>
      <c r="C28" s="257">
        <f>+modsalario2021!C24</f>
        <v>2199448990</v>
      </c>
      <c r="D28" s="257">
        <f>+modsalario2021!D24</f>
        <v>0</v>
      </c>
      <c r="E28" s="282" t="str">
        <f>+modsalario2021!E24</f>
        <v>PEAC9410032Z0</v>
      </c>
      <c r="F28" s="282" t="str">
        <f>+modsalario2021!F24</f>
        <v>PEAC941003MCSRVN06</v>
      </c>
      <c r="G28" s="204">
        <f>+modsalario2021!I24</f>
        <v>152.42</v>
      </c>
      <c r="H28" s="204">
        <f>+modsalario2021!Q24</f>
        <v>169.59298630136985</v>
      </c>
      <c r="I28" s="147">
        <v>7</v>
      </c>
      <c r="J28" s="38">
        <f t="shared" si="6"/>
        <v>1066.9399999999998</v>
      </c>
      <c r="K28" s="38"/>
      <c r="L28" s="38">
        <f t="shared" si="7"/>
        <v>106.69399999999999</v>
      </c>
      <c r="M28" s="197">
        <v>0</v>
      </c>
      <c r="N28" s="38">
        <v>0</v>
      </c>
      <c r="O28" s="38">
        <v>0</v>
      </c>
      <c r="P28" s="38">
        <v>0</v>
      </c>
      <c r="Q28" s="38"/>
      <c r="R28" s="202"/>
      <c r="S28" s="202"/>
      <c r="T28" s="38">
        <f t="shared" si="8"/>
        <v>1173.6339999999998</v>
      </c>
      <c r="U28" s="31">
        <f>+ISRAbril2021!O55</f>
        <v>68.48433599999998</v>
      </c>
      <c r="V28" s="31">
        <f>+ISRAbril2021!P55</f>
        <v>74.83</v>
      </c>
      <c r="W28" s="31">
        <f t="shared" si="9"/>
        <v>-6.3456640000000135</v>
      </c>
      <c r="X28" s="31">
        <v>0</v>
      </c>
      <c r="Y28" s="134">
        <f t="shared" si="10"/>
        <v>28.194833972602737</v>
      </c>
      <c r="Z28" s="31"/>
      <c r="AA28" s="146"/>
      <c r="AB28" s="204">
        <f t="shared" si="0"/>
        <v>21.849169972602724</v>
      </c>
      <c r="AC28" s="31">
        <f aca="true" t="shared" si="19" ref="AC28:AC34">T28-AB28</f>
        <v>1151.784830027397</v>
      </c>
      <c r="AD28" s="146"/>
      <c r="AE28" s="146">
        <v>0</v>
      </c>
      <c r="AF28" s="135">
        <f t="shared" si="11"/>
        <v>0</v>
      </c>
      <c r="AG28" s="218">
        <f t="shared" si="2"/>
        <v>1151.784830027397</v>
      </c>
      <c r="AH28" s="212" t="s">
        <v>199</v>
      </c>
      <c r="AI28" s="201"/>
      <c r="AJ28" s="243" t="str">
        <f t="shared" si="12"/>
        <v>S</v>
      </c>
      <c r="AK28" s="244">
        <v>2743.56</v>
      </c>
      <c r="AL28" s="202">
        <v>18.003520000000037</v>
      </c>
      <c r="AM28" s="202">
        <v>0</v>
      </c>
      <c r="AN28" s="202"/>
      <c r="AO28" s="202">
        <v>61.42445972602739</v>
      </c>
      <c r="AP28" s="244">
        <f t="shared" si="13"/>
        <v>79.42797972602743</v>
      </c>
      <c r="AQ28" s="244">
        <f t="shared" si="14"/>
        <v>2664.1320202739726</v>
      </c>
      <c r="AR28" s="202">
        <f t="shared" si="15"/>
        <v>2664.1320202739726</v>
      </c>
      <c r="AS28" s="217">
        <f t="shared" si="16"/>
        <v>-1512.3471902465756</v>
      </c>
      <c r="AT28" s="202">
        <f t="shared" si="3"/>
        <v>1151.784830027397</v>
      </c>
      <c r="AV28" s="202">
        <v>114</v>
      </c>
      <c r="AW28" s="217">
        <f t="shared" si="4"/>
        <v>-1512.3471902465756</v>
      </c>
      <c r="AX28" s="250">
        <f t="shared" si="5"/>
        <v>1626.3471902465756</v>
      </c>
      <c r="AZ28" s="133"/>
      <c r="BA28" s="38"/>
      <c r="BB28" s="180"/>
    </row>
    <row r="29" spans="1:54" ht="15">
      <c r="A29" s="32" t="s">
        <v>181</v>
      </c>
      <c r="B29" s="225" t="str">
        <f>+modsalario2021!B28</f>
        <v>X</v>
      </c>
      <c r="C29" s="257"/>
      <c r="D29" s="257"/>
      <c r="E29" s="282"/>
      <c r="F29" s="282"/>
      <c r="G29" s="204">
        <f>+modsalario2021!I28</f>
        <v>142.5</v>
      </c>
      <c r="H29" s="204">
        <f>+modsalario2021!Q28</f>
        <v>159.14301369863014</v>
      </c>
      <c r="I29" s="147">
        <v>7</v>
      </c>
      <c r="J29" s="38">
        <f t="shared" si="6"/>
        <v>997.5</v>
      </c>
      <c r="K29" s="38"/>
      <c r="L29" s="38">
        <f t="shared" si="7"/>
        <v>99.75</v>
      </c>
      <c r="M29" s="197">
        <v>0</v>
      </c>
      <c r="N29" s="38">
        <v>0</v>
      </c>
      <c r="O29" s="38">
        <v>0</v>
      </c>
      <c r="P29" s="38">
        <v>0</v>
      </c>
      <c r="Q29" s="38"/>
      <c r="R29" s="202"/>
      <c r="S29" s="202"/>
      <c r="T29" s="38">
        <f t="shared" si="8"/>
        <v>1097.25</v>
      </c>
      <c r="U29" s="31">
        <f>+ISRAbril2021!O56</f>
        <v>63.59576</v>
      </c>
      <c r="V29" s="31">
        <f>+ISRAbril2021!P56</f>
        <v>74.83</v>
      </c>
      <c r="W29" s="31">
        <v>0</v>
      </c>
      <c r="X29" s="31">
        <f aca="true" t="shared" si="20" ref="X29:X34">U29-V29</f>
        <v>-11.23424</v>
      </c>
      <c r="Y29" s="134">
        <f t="shared" si="10"/>
        <v>26.457526027397265</v>
      </c>
      <c r="Z29" s="31"/>
      <c r="AA29" s="146"/>
      <c r="AB29" s="204">
        <f t="shared" si="0"/>
        <v>15.223286027397265</v>
      </c>
      <c r="AC29" s="31">
        <f t="shared" si="19"/>
        <v>1082.0267139726027</v>
      </c>
      <c r="AD29" s="146"/>
      <c r="AE29" s="146"/>
      <c r="AF29" s="135">
        <f t="shared" si="11"/>
        <v>0</v>
      </c>
      <c r="AG29" s="218">
        <f t="shared" si="2"/>
        <v>1082.0267139726027</v>
      </c>
      <c r="AH29" s="212" t="s">
        <v>199</v>
      </c>
      <c r="AI29" s="201"/>
      <c r="AJ29" s="243" t="str">
        <f t="shared" si="12"/>
        <v>X</v>
      </c>
      <c r="AK29" s="244">
        <v>2394</v>
      </c>
      <c r="AL29" s="202">
        <v>0</v>
      </c>
      <c r="AM29" s="202">
        <v>-21.33663999999999</v>
      </c>
      <c r="AN29" s="202"/>
      <c r="AO29" s="202">
        <v>57.63961027397261</v>
      </c>
      <c r="AP29" s="244">
        <f t="shared" si="13"/>
        <v>36.30297027397262</v>
      </c>
      <c r="AQ29" s="244">
        <f t="shared" si="14"/>
        <v>2357.6970297260273</v>
      </c>
      <c r="AR29" s="202">
        <f t="shared" si="15"/>
        <v>2357.6970297260273</v>
      </c>
      <c r="AS29" s="217">
        <f t="shared" si="16"/>
        <v>-1275.6703157534246</v>
      </c>
      <c r="AT29" s="202">
        <f t="shared" si="3"/>
        <v>1082.0267139726027</v>
      </c>
      <c r="AV29" s="202">
        <v>0</v>
      </c>
      <c r="AW29" s="217">
        <f t="shared" si="4"/>
        <v>-1275.6703157534246</v>
      </c>
      <c r="AX29" s="217">
        <f t="shared" si="5"/>
        <v>1275.6703157534246</v>
      </c>
      <c r="AZ29" s="133"/>
      <c r="BA29" s="38"/>
      <c r="BB29" s="180"/>
    </row>
    <row r="30" spans="1:54" ht="15">
      <c r="A30" s="32" t="s">
        <v>181</v>
      </c>
      <c r="B30" s="225" t="str">
        <f>+modsalario2021!B29</f>
        <v>Y</v>
      </c>
      <c r="C30" s="257"/>
      <c r="D30" s="257"/>
      <c r="E30" s="282"/>
      <c r="F30" s="282"/>
      <c r="G30" s="204">
        <f>+modsalario2021!I29</f>
        <v>142.5</v>
      </c>
      <c r="H30" s="204">
        <f>+modsalario2021!Q29</f>
        <v>159.14301369863014</v>
      </c>
      <c r="I30" s="147">
        <v>7</v>
      </c>
      <c r="J30" s="38">
        <f t="shared" si="6"/>
        <v>997.5</v>
      </c>
      <c r="K30" s="38"/>
      <c r="L30" s="38">
        <f t="shared" si="7"/>
        <v>99.75</v>
      </c>
      <c r="M30" s="197">
        <v>0</v>
      </c>
      <c r="N30" s="38">
        <v>0</v>
      </c>
      <c r="O30" s="38">
        <v>0</v>
      </c>
      <c r="P30" s="133">
        <v>0</v>
      </c>
      <c r="Q30" s="38"/>
      <c r="R30" s="133"/>
      <c r="S30" s="38"/>
      <c r="T30" s="38">
        <f t="shared" si="8"/>
        <v>1097.25</v>
      </c>
      <c r="U30" s="31">
        <f>+ISRAbril2021!O57</f>
        <v>63.59576</v>
      </c>
      <c r="V30" s="31">
        <f>+ISRAbril2021!P57</f>
        <v>74.83</v>
      </c>
      <c r="W30" s="31">
        <v>0</v>
      </c>
      <c r="X30" s="31">
        <f t="shared" si="20"/>
        <v>-11.23424</v>
      </c>
      <c r="Y30" s="134">
        <f t="shared" si="10"/>
        <v>26.457526027397265</v>
      </c>
      <c r="Z30" s="31"/>
      <c r="AA30" s="146"/>
      <c r="AB30" s="204">
        <f t="shared" si="0"/>
        <v>15.223286027397265</v>
      </c>
      <c r="AC30" s="31">
        <f t="shared" si="19"/>
        <v>1082.0267139726027</v>
      </c>
      <c r="AD30" s="146"/>
      <c r="AE30" s="146">
        <v>257.81</v>
      </c>
      <c r="AF30" s="135">
        <f t="shared" si="11"/>
        <v>257.81</v>
      </c>
      <c r="AG30" s="218">
        <f t="shared" si="2"/>
        <v>824.2167139726027</v>
      </c>
      <c r="AH30" s="212" t="s">
        <v>199</v>
      </c>
      <c r="AI30" s="201"/>
      <c r="AJ30" s="243" t="str">
        <f t="shared" si="12"/>
        <v>Y</v>
      </c>
      <c r="AK30" s="244">
        <v>1852.5</v>
      </c>
      <c r="AL30" s="202">
        <v>0</v>
      </c>
      <c r="AM30" s="202">
        <v>-84.34263999999997</v>
      </c>
      <c r="AN30" s="202"/>
      <c r="AO30" s="202">
        <v>57.63961027397261</v>
      </c>
      <c r="AP30" s="244">
        <f t="shared" si="13"/>
        <v>-26.703029726027367</v>
      </c>
      <c r="AQ30" s="244">
        <f t="shared" si="14"/>
        <v>1879.2030297260274</v>
      </c>
      <c r="AR30" s="202">
        <f t="shared" si="15"/>
        <v>1879.2030297260274</v>
      </c>
      <c r="AS30" s="217">
        <f t="shared" si="16"/>
        <v>-797.1763157534247</v>
      </c>
      <c r="AT30" s="202">
        <f t="shared" si="3"/>
        <v>1082.0267139726027</v>
      </c>
      <c r="AV30" s="202">
        <v>535.92</v>
      </c>
      <c r="AW30" s="217">
        <f t="shared" si="4"/>
        <v>-797.1763157534247</v>
      </c>
      <c r="AX30" s="250">
        <f t="shared" si="5"/>
        <v>1333.0963157534247</v>
      </c>
      <c r="AZ30" s="133"/>
      <c r="BA30" s="38"/>
      <c r="BB30" s="180"/>
    </row>
    <row r="31" spans="1:54" ht="15">
      <c r="A31" s="32" t="s">
        <v>181</v>
      </c>
      <c r="B31" s="225" t="str">
        <f>+modsalario2021!B30</f>
        <v>Z</v>
      </c>
      <c r="C31" s="257"/>
      <c r="D31" s="257"/>
      <c r="E31" s="282"/>
      <c r="F31" s="282"/>
      <c r="G31" s="204">
        <f>+modsalario2021!I30</f>
        <v>142.5</v>
      </c>
      <c r="H31" s="204">
        <f>+modsalario2021!Q30</f>
        <v>159.14301369863014</v>
      </c>
      <c r="I31" s="147">
        <v>7</v>
      </c>
      <c r="J31" s="38">
        <f t="shared" si="6"/>
        <v>997.5</v>
      </c>
      <c r="K31" s="38"/>
      <c r="L31" s="38">
        <f t="shared" si="7"/>
        <v>99.75</v>
      </c>
      <c r="M31" s="197">
        <v>0</v>
      </c>
      <c r="N31" s="38">
        <v>0</v>
      </c>
      <c r="O31" s="38">
        <v>0</v>
      </c>
      <c r="P31" s="38">
        <v>0</v>
      </c>
      <c r="Q31" s="38"/>
      <c r="R31" s="133"/>
      <c r="S31" s="38"/>
      <c r="T31" s="38">
        <f t="shared" si="8"/>
        <v>1097.25</v>
      </c>
      <c r="U31" s="31">
        <f>+ISRAbril2021!O58</f>
        <v>63.59576</v>
      </c>
      <c r="V31" s="31">
        <f>+ISRAbril2021!P58</f>
        <v>74.83</v>
      </c>
      <c r="W31" s="31">
        <f>+U31-V31</f>
        <v>-11.23424</v>
      </c>
      <c r="X31" s="31">
        <v>0</v>
      </c>
      <c r="Y31" s="134">
        <f t="shared" si="10"/>
        <v>26.457526027397265</v>
      </c>
      <c r="Z31" s="31"/>
      <c r="AA31" s="146"/>
      <c r="AB31" s="204">
        <f t="shared" si="0"/>
        <v>15.223286027397265</v>
      </c>
      <c r="AC31" s="31">
        <f t="shared" si="19"/>
        <v>1082.0267139726027</v>
      </c>
      <c r="AD31" s="146"/>
      <c r="AE31" s="146"/>
      <c r="AF31" s="135">
        <f t="shared" si="11"/>
        <v>0</v>
      </c>
      <c r="AG31" s="218">
        <f t="shared" si="2"/>
        <v>1082.0267139726027</v>
      </c>
      <c r="AH31" s="212" t="s">
        <v>199</v>
      </c>
      <c r="AI31" s="201"/>
      <c r="AJ31" s="243" t="str">
        <f t="shared" si="12"/>
        <v>Z</v>
      </c>
      <c r="AK31" s="244">
        <v>2394</v>
      </c>
      <c r="AL31" s="202">
        <v>0</v>
      </c>
      <c r="AM31" s="202">
        <v>-21.33663999999999</v>
      </c>
      <c r="AN31" s="202"/>
      <c r="AO31" s="202">
        <v>57.63961027397261</v>
      </c>
      <c r="AP31" s="244">
        <f t="shared" si="13"/>
        <v>36.30297027397262</v>
      </c>
      <c r="AQ31" s="244">
        <f t="shared" si="14"/>
        <v>2357.6970297260273</v>
      </c>
      <c r="AR31" s="202">
        <f t="shared" si="15"/>
        <v>2357.6970297260273</v>
      </c>
      <c r="AS31" s="217">
        <f t="shared" si="16"/>
        <v>-1275.6703157534246</v>
      </c>
      <c r="AT31" s="202">
        <f t="shared" si="3"/>
        <v>1082.0267139726027</v>
      </c>
      <c r="AV31" s="202">
        <v>712.31</v>
      </c>
      <c r="AW31" s="217">
        <f t="shared" si="4"/>
        <v>-1275.6703157534246</v>
      </c>
      <c r="AX31" s="250">
        <f t="shared" si="5"/>
        <v>1987.9803157534245</v>
      </c>
      <c r="AZ31" s="133"/>
      <c r="BA31" s="38"/>
      <c r="BB31" s="180"/>
    </row>
    <row r="32" spans="1:54" ht="15">
      <c r="A32" s="32" t="s">
        <v>181</v>
      </c>
      <c r="B32" s="225" t="str">
        <f>+modsalario2021!B32</f>
        <v>AB</v>
      </c>
      <c r="C32" s="257"/>
      <c r="D32" s="257"/>
      <c r="E32" s="282"/>
      <c r="F32" s="282"/>
      <c r="G32" s="204">
        <f>+modsalario2021!I32</f>
        <v>142.5</v>
      </c>
      <c r="H32" s="204">
        <f>+modsalario2021!Q32</f>
        <v>159.14301369863014</v>
      </c>
      <c r="I32" s="147">
        <v>7</v>
      </c>
      <c r="J32" s="38">
        <f t="shared" si="6"/>
        <v>997.5</v>
      </c>
      <c r="K32" s="38"/>
      <c r="L32" s="38">
        <f t="shared" si="7"/>
        <v>99.75</v>
      </c>
      <c r="M32" s="197">
        <v>0</v>
      </c>
      <c r="N32" s="38"/>
      <c r="O32" s="38"/>
      <c r="P32" s="38"/>
      <c r="Q32" s="38"/>
      <c r="R32" s="133"/>
      <c r="S32" s="38"/>
      <c r="T32" s="38">
        <f t="shared" si="8"/>
        <v>1097.25</v>
      </c>
      <c r="U32" s="31">
        <f>+ISRAbril2021!O59</f>
        <v>63.59576</v>
      </c>
      <c r="V32" s="31">
        <f>+ISRAbril2021!P59</f>
        <v>74.83</v>
      </c>
      <c r="W32" s="31">
        <f>+U32-V32</f>
        <v>-11.23424</v>
      </c>
      <c r="X32" s="31">
        <v>0</v>
      </c>
      <c r="Y32" s="134">
        <f t="shared" si="10"/>
        <v>26.457526027397265</v>
      </c>
      <c r="Z32" s="31"/>
      <c r="AA32" s="146"/>
      <c r="AB32" s="204">
        <f t="shared" si="0"/>
        <v>15.223286027397265</v>
      </c>
      <c r="AC32" s="31">
        <f t="shared" si="19"/>
        <v>1082.0267139726027</v>
      </c>
      <c r="AD32" s="146"/>
      <c r="AE32" s="146"/>
      <c r="AF32" s="135">
        <f>AD32+AE32</f>
        <v>0</v>
      </c>
      <c r="AG32" s="218">
        <f t="shared" si="2"/>
        <v>1082.0267139726027</v>
      </c>
      <c r="AH32" s="212" t="s">
        <v>199</v>
      </c>
      <c r="AI32" s="201"/>
      <c r="AJ32" s="243" t="str">
        <f t="shared" si="12"/>
        <v>AB</v>
      </c>
      <c r="AK32" s="244">
        <v>2137.5</v>
      </c>
      <c r="AL32" s="202">
        <v>0</v>
      </c>
      <c r="AM32" s="202">
        <v>-66.10263999999998</v>
      </c>
      <c r="AN32" s="202"/>
      <c r="AO32" s="202">
        <v>57.63961027397261</v>
      </c>
      <c r="AP32" s="244">
        <f t="shared" si="13"/>
        <v>-8.463029726027372</v>
      </c>
      <c r="AQ32" s="244">
        <f t="shared" si="14"/>
        <v>2145.9630297260273</v>
      </c>
      <c r="AR32" s="202">
        <f t="shared" si="15"/>
        <v>2145.9630297260273</v>
      </c>
      <c r="AS32" s="217">
        <f t="shared" si="16"/>
        <v>-1063.9363157534247</v>
      </c>
      <c r="AT32" s="202">
        <f t="shared" si="3"/>
        <v>1082.0267139726027</v>
      </c>
      <c r="AV32" s="202">
        <v>718.01</v>
      </c>
      <c r="AW32" s="217">
        <f t="shared" si="4"/>
        <v>-1063.9363157534247</v>
      </c>
      <c r="AX32" s="250">
        <f t="shared" si="5"/>
        <v>1781.9463157534246</v>
      </c>
      <c r="AZ32" s="133"/>
      <c r="BA32" s="38"/>
      <c r="BB32" s="180"/>
    </row>
    <row r="33" spans="1:54" ht="15">
      <c r="A33" s="32" t="s">
        <v>181</v>
      </c>
      <c r="B33" s="225" t="str">
        <f>+modsalario2021!B34</f>
        <v>AD</v>
      </c>
      <c r="C33" s="277">
        <f>+modsalario2021!C34</f>
        <v>71978248525</v>
      </c>
      <c r="D33" s="277">
        <f>+modsalario2021!D34</f>
        <v>0</v>
      </c>
      <c r="E33" s="277" t="str">
        <f>+modsalario2021!E34</f>
        <v>LOJF8210195Y2</v>
      </c>
      <c r="F33" s="277" t="str">
        <f>+modsalario2021!F34</f>
        <v>LOJF821019HCSPNB08</v>
      </c>
      <c r="G33" s="204">
        <f>+modsalario2021!I34</f>
        <v>142.5</v>
      </c>
      <c r="H33" s="204">
        <f>+modsalario2021!Q34</f>
        <v>159.14301369863014</v>
      </c>
      <c r="I33" s="147">
        <v>7</v>
      </c>
      <c r="J33" s="38">
        <f t="shared" si="6"/>
        <v>997.5</v>
      </c>
      <c r="K33" s="38"/>
      <c r="L33" s="38"/>
      <c r="M33" s="197"/>
      <c r="N33" s="38"/>
      <c r="O33" s="38"/>
      <c r="P33" s="38"/>
      <c r="Q33" s="38"/>
      <c r="R33" s="133"/>
      <c r="S33" s="202"/>
      <c r="T33" s="38">
        <f t="shared" si="8"/>
        <v>997.5</v>
      </c>
      <c r="U33" s="31">
        <f>+ISRAbril2021!O60</f>
        <v>57.21176</v>
      </c>
      <c r="V33" s="31">
        <f>+ISRAbril2021!P60</f>
        <v>88.06</v>
      </c>
      <c r="W33" s="31">
        <f>+U33-V33</f>
        <v>-30.848240000000004</v>
      </c>
      <c r="X33" s="31">
        <v>0</v>
      </c>
      <c r="Y33" s="134">
        <f t="shared" si="10"/>
        <v>26.457526027397265</v>
      </c>
      <c r="Z33" s="31"/>
      <c r="AA33" s="146"/>
      <c r="AB33" s="204">
        <f t="shared" si="0"/>
        <v>-4.3907139726027395</v>
      </c>
      <c r="AC33" s="31">
        <f t="shared" si="19"/>
        <v>1001.8907139726027</v>
      </c>
      <c r="AD33" s="146"/>
      <c r="AE33" s="146"/>
      <c r="AF33" s="135"/>
      <c r="AG33" s="218">
        <f t="shared" si="2"/>
        <v>1001.8907139726027</v>
      </c>
      <c r="AH33" s="212" t="s">
        <v>199</v>
      </c>
      <c r="AI33" s="201"/>
      <c r="AJ33" s="243" t="str">
        <f t="shared" si="12"/>
        <v>AD</v>
      </c>
      <c r="AK33" s="244">
        <v>2565</v>
      </c>
      <c r="AL33" s="202">
        <v>0</v>
      </c>
      <c r="AM33" s="202">
        <v>-10.39264</v>
      </c>
      <c r="AN33" s="202"/>
      <c r="AO33" s="202">
        <v>57.63961027397261</v>
      </c>
      <c r="AP33" s="244">
        <f>SUM(AL33:AO33)</f>
        <v>47.24697027397261</v>
      </c>
      <c r="AQ33" s="244">
        <f t="shared" si="14"/>
        <v>2517.7530297260273</v>
      </c>
      <c r="AR33" s="202">
        <f>+AK33-AP33</f>
        <v>2517.7530297260273</v>
      </c>
      <c r="AS33" s="217">
        <f>AC33-AR33</f>
        <v>-1515.8623157534246</v>
      </c>
      <c r="AT33" s="202">
        <f>+AR33+AS33</f>
        <v>1001.8907139726027</v>
      </c>
      <c r="AV33" s="202">
        <v>800</v>
      </c>
      <c r="AW33" s="217">
        <f t="shared" si="4"/>
        <v>-1515.8623157534246</v>
      </c>
      <c r="AX33" s="250">
        <f>+AV33-AW33</f>
        <v>2315.862315753425</v>
      </c>
      <c r="AZ33" s="133"/>
      <c r="BA33" s="38"/>
      <c r="BB33" s="180"/>
    </row>
    <row r="34" spans="1:54" ht="15">
      <c r="A34" s="32" t="s">
        <v>181</v>
      </c>
      <c r="B34" s="225" t="str">
        <f>+modsalario2021!B35</f>
        <v>AC</v>
      </c>
      <c r="C34" s="267" t="str">
        <f>+modsalario2021!C35</f>
        <v>06139634031</v>
      </c>
      <c r="D34" s="277">
        <f>+modsalario2021!D35</f>
        <v>0</v>
      </c>
      <c r="E34" s="277" t="str">
        <f>+modsalario2021!E35</f>
        <v>GOVP960704851</v>
      </c>
      <c r="F34" s="277" t="str">
        <f>+modsalario2021!F35</f>
        <v>GOVP960704MCSNRL04</v>
      </c>
      <c r="G34" s="204">
        <f>+modsalario2021!I35</f>
        <v>142.5</v>
      </c>
      <c r="H34" s="204">
        <f>+modsalario2021!Q35</f>
        <v>159.14301369863014</v>
      </c>
      <c r="I34" s="147">
        <v>7</v>
      </c>
      <c r="J34" s="38">
        <f t="shared" si="6"/>
        <v>997.5</v>
      </c>
      <c r="K34" s="38"/>
      <c r="L34" s="38"/>
      <c r="M34" s="197">
        <v>0</v>
      </c>
      <c r="N34" s="38">
        <v>0</v>
      </c>
      <c r="O34" s="38">
        <v>0</v>
      </c>
      <c r="P34" s="38">
        <v>0</v>
      </c>
      <c r="Q34" s="38"/>
      <c r="R34" s="202"/>
      <c r="S34" s="202"/>
      <c r="T34" s="38">
        <f t="shared" si="8"/>
        <v>997.5</v>
      </c>
      <c r="U34" s="31">
        <f>+ISRAbril2021!O61</f>
        <v>57.21176</v>
      </c>
      <c r="V34" s="31">
        <f>+ISRAbril2021!P61</f>
        <v>88.06</v>
      </c>
      <c r="W34" s="31">
        <v>0</v>
      </c>
      <c r="X34" s="31">
        <f t="shared" si="20"/>
        <v>-30.848240000000004</v>
      </c>
      <c r="Y34" s="134">
        <f t="shared" si="10"/>
        <v>26.457526027397265</v>
      </c>
      <c r="Z34" s="31"/>
      <c r="AA34" s="146"/>
      <c r="AB34" s="204">
        <f t="shared" si="0"/>
        <v>-4.3907139726027395</v>
      </c>
      <c r="AC34" s="31">
        <f t="shared" si="19"/>
        <v>1001.8907139726027</v>
      </c>
      <c r="AD34" s="146">
        <v>0</v>
      </c>
      <c r="AE34" s="146">
        <v>0</v>
      </c>
      <c r="AF34" s="135">
        <f>AD34+AE34</f>
        <v>0</v>
      </c>
      <c r="AG34" s="218">
        <f t="shared" si="2"/>
        <v>1001.8907139726027</v>
      </c>
      <c r="AH34" s="212" t="s">
        <v>199</v>
      </c>
      <c r="AI34" s="201"/>
      <c r="AJ34" s="243" t="str">
        <f t="shared" si="12"/>
        <v>AC</v>
      </c>
      <c r="AK34" s="244">
        <v>2137.5</v>
      </c>
      <c r="AL34" s="202">
        <v>0</v>
      </c>
      <c r="AM34" s="202">
        <v>-66.10263999999998</v>
      </c>
      <c r="AN34" s="202"/>
      <c r="AO34" s="202">
        <v>57.63961027397261</v>
      </c>
      <c r="AP34" s="244">
        <f>SUM(AL34:AO34)</f>
        <v>-8.463029726027372</v>
      </c>
      <c r="AQ34" s="244">
        <f t="shared" si="14"/>
        <v>2145.9630297260273</v>
      </c>
      <c r="AR34" s="202">
        <f t="shared" si="15"/>
        <v>2145.9630297260273</v>
      </c>
      <c r="AS34" s="217">
        <f t="shared" si="16"/>
        <v>-1144.0723157534246</v>
      </c>
      <c r="AT34" s="202">
        <f t="shared" si="3"/>
        <v>1001.8907139726027</v>
      </c>
      <c r="AV34" s="202"/>
      <c r="AW34" s="217">
        <v>0</v>
      </c>
      <c r="AX34" s="217">
        <f t="shared" si="5"/>
        <v>0</v>
      </c>
      <c r="AZ34" s="133">
        <f>((G34/8)*2)*2.75</f>
        <v>97.96875</v>
      </c>
      <c r="BA34" s="38">
        <v>0</v>
      </c>
      <c r="BB34" s="180"/>
    </row>
    <row r="35" spans="1:50" ht="15">
      <c r="A35" s="56"/>
      <c r="B35" s="25"/>
      <c r="C35" s="25"/>
      <c r="D35" s="25"/>
      <c r="E35" s="37"/>
      <c r="F35" s="37"/>
      <c r="G35" s="256"/>
      <c r="H35" s="41"/>
      <c r="I35" s="224">
        <f aca="true" t="shared" si="21" ref="I35:T35">SUM(I7:I34)</f>
        <v>182</v>
      </c>
      <c r="J35" s="41">
        <f t="shared" si="21"/>
        <v>29754.48</v>
      </c>
      <c r="K35" s="41">
        <f t="shared" si="21"/>
        <v>0</v>
      </c>
      <c r="L35" s="41">
        <f t="shared" si="21"/>
        <v>2775.948</v>
      </c>
      <c r="M35" s="41">
        <f t="shared" si="21"/>
        <v>0</v>
      </c>
      <c r="N35" s="41">
        <f t="shared" si="21"/>
        <v>1944</v>
      </c>
      <c r="O35" s="41">
        <f t="shared" si="21"/>
        <v>2277.654</v>
      </c>
      <c r="P35" s="41">
        <f t="shared" si="21"/>
        <v>0</v>
      </c>
      <c r="Q35" s="41">
        <f t="shared" si="21"/>
        <v>0</v>
      </c>
      <c r="R35" s="41">
        <f t="shared" si="21"/>
        <v>0</v>
      </c>
      <c r="S35" s="41">
        <f t="shared" si="21"/>
        <v>0</v>
      </c>
      <c r="T35" s="41">
        <f t="shared" si="21"/>
        <v>36752.081999999995</v>
      </c>
      <c r="U35" s="41"/>
      <c r="V35" s="41"/>
      <c r="W35" s="41">
        <f aca="true" t="shared" si="22" ref="W35:AG35">SUM(W7:W34)</f>
        <v>389.0272991999999</v>
      </c>
      <c r="X35" s="41">
        <f t="shared" si="22"/>
        <v>-70.89662400000002</v>
      </c>
      <c r="Y35" s="41">
        <f t="shared" si="22"/>
        <v>785.1681401096754</v>
      </c>
      <c r="Z35" s="41">
        <f t="shared" si="22"/>
        <v>0</v>
      </c>
      <c r="AA35" s="41">
        <f t="shared" si="22"/>
        <v>680</v>
      </c>
      <c r="AB35" s="41">
        <f t="shared" si="22"/>
        <v>1783.2988153096755</v>
      </c>
      <c r="AC35" s="41">
        <f t="shared" si="22"/>
        <v>34968.783184690314</v>
      </c>
      <c r="AD35" s="41">
        <f t="shared" si="22"/>
        <v>4050</v>
      </c>
      <c r="AE35" s="41">
        <f t="shared" si="22"/>
        <v>3316.3400000000006</v>
      </c>
      <c r="AF35" s="41">
        <f t="shared" si="22"/>
        <v>7366.34</v>
      </c>
      <c r="AG35" s="41">
        <f t="shared" si="22"/>
        <v>27602.443184690324</v>
      </c>
      <c r="AH35" s="209"/>
      <c r="AI35" s="201"/>
      <c r="AJ35" s="242">
        <f t="shared" si="12"/>
        <v>0</v>
      </c>
      <c r="AK35" s="41">
        <f aca="true" t="shared" si="23" ref="AK35:AT35">SUM(AK7:AK34)</f>
        <v>79217.003325</v>
      </c>
      <c r="AL35" s="41">
        <f t="shared" si="23"/>
        <v>1531.5227280000001</v>
      </c>
      <c r="AM35" s="41">
        <f t="shared" si="23"/>
        <v>-455.8805071999999</v>
      </c>
      <c r="AN35" s="41">
        <f t="shared" si="23"/>
        <v>680</v>
      </c>
      <c r="AO35" s="41">
        <f t="shared" si="23"/>
        <v>1822.90789294573</v>
      </c>
      <c r="AP35" s="41">
        <f t="shared" si="23"/>
        <v>3578.550113745729</v>
      </c>
      <c r="AQ35" s="41">
        <f t="shared" si="23"/>
        <v>75638.45321125427</v>
      </c>
      <c r="AR35" s="41">
        <f t="shared" si="23"/>
        <v>75638.45321125427</v>
      </c>
      <c r="AS35" s="41">
        <f t="shared" si="23"/>
        <v>-40669.67002656393</v>
      </c>
      <c r="AT35" s="41">
        <f t="shared" si="23"/>
        <v>34968.783184690314</v>
      </c>
      <c r="AV35" s="41">
        <f>SUM(AV7:AV34)</f>
        <v>37779.31</v>
      </c>
      <c r="AW35" s="41">
        <f>SUM(AW7:AW34)</f>
        <v>-39525.59771081051</v>
      </c>
      <c r="AX35" s="41">
        <f>SUM(AX7:AX34)</f>
        <v>77304.90771081051</v>
      </c>
    </row>
    <row r="36" spans="1:48" ht="15">
      <c r="A36" s="56"/>
      <c r="B36" s="25"/>
      <c r="C36" s="25"/>
      <c r="D36" s="25"/>
      <c r="E36" s="37"/>
      <c r="F36" s="37"/>
      <c r="G36" s="230"/>
      <c r="H36" s="49"/>
      <c r="I36" s="287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181">
        <v>0</v>
      </c>
      <c r="AF36" s="41"/>
      <c r="AG36" s="153">
        <f>+AG7+AG15+AG21+AG22+AG25+AG26+AG27+AG28+AG29+AG30+AG31+AG32+AG33+AG34</f>
        <v>14861.999194295347</v>
      </c>
      <c r="AH36" s="209"/>
      <c r="AI36" s="201"/>
      <c r="AJ36" s="201"/>
      <c r="AQ36" s="181"/>
      <c r="AV36" s="180">
        <v>-16711.61</v>
      </c>
    </row>
  </sheetData>
  <sheetProtection/>
  <mergeCells count="16">
    <mergeCell ref="AB4:AB5"/>
    <mergeCell ref="AC4:AC5"/>
    <mergeCell ref="AK4:AR4"/>
    <mergeCell ref="A6:B6"/>
    <mergeCell ref="G4:G5"/>
    <mergeCell ref="H4:H5"/>
    <mergeCell ref="I4:I5"/>
    <mergeCell ref="J4:S4"/>
    <mergeCell ref="T4:T5"/>
    <mergeCell ref="U4:X4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portrait" scale="1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36"/>
  <sheetViews>
    <sheetView zoomScale="150" zoomScaleNormal="150" zoomScalePageLayoutView="0" workbookViewId="0" topLeftCell="A1">
      <pane xSplit="2" topLeftCell="O1" activePane="topRight" state="frozen"/>
      <selection pane="topLeft" activeCell="A1" sqref="A1"/>
      <selection pane="topRight" activeCell="B4" sqref="B4:B5"/>
    </sheetView>
  </sheetViews>
  <sheetFormatPr defaultColWidth="11.421875" defaultRowHeight="15"/>
  <cols>
    <col min="1" max="1" width="6.421875" style="287" customWidth="1"/>
    <col min="2" max="2" width="27.140625" style="159" customWidth="1"/>
    <col min="3" max="3" width="16.57421875" style="159" customWidth="1"/>
    <col min="4" max="4" width="13.00390625" style="159" customWidth="1"/>
    <col min="5" max="5" width="20.421875" style="159" customWidth="1"/>
    <col min="6" max="6" width="24.7109375" style="288" customWidth="1"/>
    <col min="7" max="7" width="13.7109375" style="288" customWidth="1"/>
    <col min="8" max="8" width="13.00390625" style="159" customWidth="1"/>
    <col min="9" max="9" width="14.140625" style="159" customWidth="1"/>
    <col min="10" max="10" width="15.8515625" style="159" customWidth="1"/>
    <col min="11" max="11" width="14.421875" style="159" customWidth="1"/>
    <col min="12" max="12" width="14.8515625" style="159" customWidth="1"/>
    <col min="13" max="13" width="15.57421875" style="159" customWidth="1"/>
    <col min="14" max="16" width="17.57421875" style="159" customWidth="1"/>
    <col min="17" max="18" width="14.8515625" style="159" customWidth="1"/>
    <col min="19" max="19" width="13.140625" style="159" customWidth="1"/>
    <col min="20" max="20" width="16.7109375" style="159" customWidth="1"/>
    <col min="21" max="22" width="13.00390625" style="159" customWidth="1"/>
    <col min="23" max="23" width="14.57421875" style="159" customWidth="1"/>
    <col min="24" max="24" width="13.8515625" style="159" customWidth="1"/>
    <col min="25" max="25" width="15.140625" style="159" customWidth="1"/>
    <col min="26" max="26" width="15.8515625" style="159" customWidth="1"/>
    <col min="27" max="27" width="15.28125" style="159" customWidth="1"/>
    <col min="28" max="32" width="15.8515625" style="159" customWidth="1"/>
    <col min="33" max="33" width="15.421875" style="159" customWidth="1"/>
    <col min="34" max="34" width="17.421875" style="206" customWidth="1"/>
    <col min="35" max="35" width="4.28125" style="159" customWidth="1"/>
    <col min="36" max="36" width="37.57421875" style="159" customWidth="1"/>
    <col min="37" max="37" width="14.140625" style="159" customWidth="1"/>
    <col min="38" max="38" width="12.8515625" style="159" customWidth="1"/>
    <col min="39" max="39" width="11.140625" style="159" customWidth="1"/>
    <col min="40" max="40" width="11.421875" style="159" customWidth="1"/>
    <col min="41" max="42" width="12.8515625" style="159" customWidth="1"/>
    <col min="43" max="45" width="14.140625" style="159" customWidth="1"/>
    <col min="46" max="46" width="16.00390625" style="159" customWidth="1"/>
    <col min="47" max="47" width="3.421875" style="159" customWidth="1"/>
    <col min="48" max="50" width="14.140625" style="159" customWidth="1"/>
    <col min="51" max="51" width="11.421875" style="159" customWidth="1"/>
    <col min="52" max="53" width="11.421875" style="159" hidden="1" customWidth="1"/>
    <col min="54" max="54" width="11.421875" style="159" customWidth="1"/>
    <col min="55" max="16384" width="11.421875" style="159" customWidth="1"/>
  </cols>
  <sheetData>
    <row r="2" spans="1:9" ht="15">
      <c r="A2" s="186"/>
      <c r="B2" s="186" t="s">
        <v>32</v>
      </c>
      <c r="C2" s="186"/>
      <c r="D2" s="186"/>
      <c r="E2" s="186"/>
      <c r="F2" s="186"/>
      <c r="G2" s="186"/>
      <c r="H2" s="186"/>
      <c r="I2" s="186"/>
    </row>
    <row r="3" spans="1:9" ht="15">
      <c r="A3" s="185"/>
      <c r="B3" s="185" t="s">
        <v>293</v>
      </c>
      <c r="C3" s="185"/>
      <c r="D3" s="185"/>
      <c r="E3" s="185"/>
      <c r="F3" s="185"/>
      <c r="G3" s="185"/>
      <c r="H3" s="185"/>
      <c r="I3" s="185"/>
    </row>
    <row r="4" spans="1:44" ht="14.25" customHeight="1">
      <c r="A4" s="346"/>
      <c r="B4" s="346" t="s">
        <v>34</v>
      </c>
      <c r="C4" s="346" t="s">
        <v>37</v>
      </c>
      <c r="D4" s="346" t="s">
        <v>38</v>
      </c>
      <c r="E4" s="346" t="s">
        <v>31</v>
      </c>
      <c r="F4" s="347" t="s">
        <v>35</v>
      </c>
      <c r="G4" s="349" t="s">
        <v>1</v>
      </c>
      <c r="H4" s="346" t="s">
        <v>39</v>
      </c>
      <c r="I4" s="346" t="s">
        <v>0</v>
      </c>
      <c r="J4" s="351" t="s">
        <v>40</v>
      </c>
      <c r="K4" s="352"/>
      <c r="L4" s="352"/>
      <c r="M4" s="352"/>
      <c r="N4" s="352"/>
      <c r="O4" s="352"/>
      <c r="P4" s="352"/>
      <c r="Q4" s="352"/>
      <c r="R4" s="352"/>
      <c r="S4" s="353"/>
      <c r="T4" s="349" t="s">
        <v>44</v>
      </c>
      <c r="U4" s="351" t="s">
        <v>2</v>
      </c>
      <c r="V4" s="352"/>
      <c r="W4" s="352"/>
      <c r="X4" s="353"/>
      <c r="Y4" s="136"/>
      <c r="Z4" s="136"/>
      <c r="AA4" s="136"/>
      <c r="AB4" s="349" t="s">
        <v>50</v>
      </c>
      <c r="AC4" s="349" t="s">
        <v>51</v>
      </c>
      <c r="AD4" s="137" t="s">
        <v>2</v>
      </c>
      <c r="AE4" s="138"/>
      <c r="AF4" s="138"/>
      <c r="AG4" s="128"/>
      <c r="AH4" s="207"/>
      <c r="AI4" s="50"/>
      <c r="AJ4" s="50"/>
      <c r="AK4" s="348" t="s">
        <v>221</v>
      </c>
      <c r="AL4" s="348"/>
      <c r="AM4" s="348"/>
      <c r="AN4" s="348"/>
      <c r="AO4" s="348"/>
      <c r="AP4" s="348"/>
      <c r="AQ4" s="348"/>
      <c r="AR4" s="348"/>
    </row>
    <row r="5" spans="1:50" ht="37.5" customHeight="1">
      <c r="A5" s="346"/>
      <c r="B5" s="346"/>
      <c r="C5" s="346"/>
      <c r="D5" s="346"/>
      <c r="E5" s="346"/>
      <c r="F5" s="347"/>
      <c r="G5" s="350"/>
      <c r="H5" s="346"/>
      <c r="I5" s="346"/>
      <c r="J5" s="126" t="s">
        <v>41</v>
      </c>
      <c r="K5" s="141" t="s">
        <v>52</v>
      </c>
      <c r="L5" s="139" t="s">
        <v>42</v>
      </c>
      <c r="M5" s="139" t="s">
        <v>168</v>
      </c>
      <c r="N5" s="132" t="s">
        <v>252</v>
      </c>
      <c r="O5" s="139" t="s">
        <v>175</v>
      </c>
      <c r="P5" s="139" t="s">
        <v>228</v>
      </c>
      <c r="Q5" s="139" t="s">
        <v>158</v>
      </c>
      <c r="R5" s="139" t="s">
        <v>220</v>
      </c>
      <c r="S5" s="139" t="s">
        <v>60</v>
      </c>
      <c r="T5" s="350"/>
      <c r="U5" s="132" t="s">
        <v>45</v>
      </c>
      <c r="V5" s="132" t="s">
        <v>46</v>
      </c>
      <c r="W5" s="132" t="s">
        <v>47</v>
      </c>
      <c r="X5" s="132" t="s">
        <v>48</v>
      </c>
      <c r="Y5" s="132" t="s">
        <v>163</v>
      </c>
      <c r="Z5" s="132" t="s">
        <v>169</v>
      </c>
      <c r="AA5" s="132" t="s">
        <v>49</v>
      </c>
      <c r="AB5" s="350"/>
      <c r="AC5" s="350"/>
      <c r="AD5" s="47" t="s">
        <v>154</v>
      </c>
      <c r="AE5" s="47" t="s">
        <v>166</v>
      </c>
      <c r="AF5" s="47" t="s">
        <v>156</v>
      </c>
      <c r="AG5" s="47" t="s">
        <v>157</v>
      </c>
      <c r="AH5" s="132" t="s">
        <v>70</v>
      </c>
      <c r="AJ5" s="249" t="s">
        <v>223</v>
      </c>
      <c r="AK5" s="246" t="s">
        <v>44</v>
      </c>
      <c r="AL5" s="247" t="s">
        <v>47</v>
      </c>
      <c r="AM5" s="247" t="s">
        <v>48</v>
      </c>
      <c r="AN5" s="248" t="s">
        <v>49</v>
      </c>
      <c r="AO5" s="248" t="s">
        <v>163</v>
      </c>
      <c r="AP5" s="246" t="s">
        <v>50</v>
      </c>
      <c r="AQ5" s="246" t="s">
        <v>51</v>
      </c>
      <c r="AR5" s="246" t="s">
        <v>224</v>
      </c>
      <c r="AS5" s="246" t="s">
        <v>225</v>
      </c>
      <c r="AT5" s="246" t="s">
        <v>226</v>
      </c>
      <c r="AV5" s="246" t="s">
        <v>222</v>
      </c>
      <c r="AW5" s="246" t="s">
        <v>225</v>
      </c>
      <c r="AX5" s="246" t="s">
        <v>227</v>
      </c>
    </row>
    <row r="6" spans="1:39" ht="15">
      <c r="A6" s="338"/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S6" s="26"/>
      <c r="T6" s="26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208"/>
      <c r="AI6" s="25"/>
      <c r="AJ6" s="25"/>
      <c r="AK6" s="156"/>
      <c r="AL6" s="180"/>
      <c r="AM6" s="180"/>
    </row>
    <row r="7" spans="1:54" ht="15">
      <c r="A7" s="32" t="s">
        <v>181</v>
      </c>
      <c r="B7" s="225" t="str">
        <f>+modsalario2021!B4</f>
        <v>A</v>
      </c>
      <c r="C7" s="257">
        <f>+modsalario2021!C4</f>
        <v>71027104935</v>
      </c>
      <c r="D7" s="257">
        <f>+modsalario2021!D4</f>
        <v>0</v>
      </c>
      <c r="E7" s="282" t="str">
        <f>+modsalario2021!E4</f>
        <v>COPD710805H80</v>
      </c>
      <c r="F7" s="282" t="str">
        <f>+modsalario2021!F4</f>
        <v>COPD710805HCSRRN09</v>
      </c>
      <c r="G7" s="31">
        <f>+modsalario2021!I4</f>
        <v>176.07</v>
      </c>
      <c r="H7" s="31">
        <f>+modsalario2021!Q4</f>
        <v>195.7121636328805</v>
      </c>
      <c r="I7" s="147">
        <v>7</v>
      </c>
      <c r="J7" s="38">
        <f>G7*I7</f>
        <v>1232.49</v>
      </c>
      <c r="K7" s="38"/>
      <c r="L7" s="38"/>
      <c r="M7" s="197"/>
      <c r="N7" s="151"/>
      <c r="O7" s="151"/>
      <c r="P7" s="151"/>
      <c r="Q7" s="151"/>
      <c r="R7" s="133"/>
      <c r="S7" s="38"/>
      <c r="T7" s="38">
        <f>SUM(J7:S7)</f>
        <v>1232.49</v>
      </c>
      <c r="U7" s="31">
        <f>+ISRAbril2021!O34</f>
        <v>84.4357792</v>
      </c>
      <c r="V7" s="31">
        <f>+ISRAbril2021!P34</f>
        <v>67.83</v>
      </c>
      <c r="W7" s="31">
        <f>+U7-V7</f>
        <v>16.6057792</v>
      </c>
      <c r="X7" s="31">
        <v>0</v>
      </c>
      <c r="Y7" s="134">
        <f>+'COP TUXTLA'!V7</f>
        <v>70.88449926578392</v>
      </c>
      <c r="Z7" s="31"/>
      <c r="AA7" s="31"/>
      <c r="AB7" s="31">
        <f aca="true" t="shared" si="0" ref="AB7:AB34">W7+X7+AA7+Y7+Z7</f>
        <v>87.49027846578392</v>
      </c>
      <c r="AC7" s="31">
        <f aca="true" t="shared" si="1" ref="AC7:AC22">T7-AB7</f>
        <v>1144.9997215342162</v>
      </c>
      <c r="AD7" s="146">
        <v>200</v>
      </c>
      <c r="AE7" s="146">
        <v>0</v>
      </c>
      <c r="AF7" s="135">
        <f>AD7+AE7</f>
        <v>200</v>
      </c>
      <c r="AG7" s="204">
        <f aca="true" t="shared" si="2" ref="AG7:AG34">AC7-AF7</f>
        <v>944.9997215342162</v>
      </c>
      <c r="AH7" s="211" t="s">
        <v>199</v>
      </c>
      <c r="AI7" s="201"/>
      <c r="AJ7" s="243" t="str">
        <f>B7</f>
        <v>A</v>
      </c>
      <c r="AK7" s="244">
        <v>2746.692</v>
      </c>
      <c r="AL7" s="202">
        <v>18.344281600000045</v>
      </c>
      <c r="AM7" s="202">
        <v>0</v>
      </c>
      <c r="AN7" s="202"/>
      <c r="AO7" s="202">
        <v>70.88449926578392</v>
      </c>
      <c r="AP7" s="244">
        <f>SUM(AL7:AO7)</f>
        <v>89.22878086578396</v>
      </c>
      <c r="AQ7" s="244">
        <f>AK7-AP7</f>
        <v>2657.463219134216</v>
      </c>
      <c r="AR7" s="202">
        <f>+AK7-AP7</f>
        <v>2657.463219134216</v>
      </c>
      <c r="AS7" s="217">
        <f>AC7-AR7</f>
        <v>-1512.4634976</v>
      </c>
      <c r="AT7" s="202">
        <f aca="true" t="shared" si="3" ref="AT7:AT34">+AR7+AS7</f>
        <v>1144.9997215342162</v>
      </c>
      <c r="AV7" s="202">
        <v>3609.06</v>
      </c>
      <c r="AW7" s="202">
        <f aca="true" t="shared" si="4" ref="AW7:AW33">+AS7</f>
        <v>-1512.4634976</v>
      </c>
      <c r="AX7" s="250">
        <f aca="true" t="shared" si="5" ref="AX7:AX34">+AV7-AW7</f>
        <v>5121.5234976</v>
      </c>
      <c r="AZ7" s="133">
        <f>(((G7/8)*2)*9)*2</f>
        <v>792.3149999999999</v>
      </c>
      <c r="BA7" s="38">
        <f>9.03*30</f>
        <v>270.9</v>
      </c>
      <c r="BB7" s="180"/>
    </row>
    <row r="8" spans="1:54" ht="15">
      <c r="A8" s="32" t="s">
        <v>181</v>
      </c>
      <c r="B8" s="225" t="str">
        <f>+modsalario2021!B5</f>
        <v>B</v>
      </c>
      <c r="C8" s="257">
        <f>+modsalario2021!C5</f>
        <v>71068906206</v>
      </c>
      <c r="D8" s="257">
        <f>+modsalario2021!D5</f>
        <v>0</v>
      </c>
      <c r="E8" s="282" t="str">
        <f>+modsalario2021!E5</f>
        <v>EIGR8904026AA</v>
      </c>
      <c r="F8" s="282" t="str">
        <f>+modsalario2021!F5</f>
        <v>EIGR890402HCSSLC06</v>
      </c>
      <c r="G8" s="31">
        <f>+modsalario2021!I5</f>
        <v>176.07</v>
      </c>
      <c r="H8" s="31">
        <f>+modsalario2021!Q5</f>
        <v>195.7121636328805</v>
      </c>
      <c r="I8" s="147">
        <v>7</v>
      </c>
      <c r="J8" s="38">
        <f aca="true" t="shared" si="6" ref="J8:J34">G8*I8</f>
        <v>1232.49</v>
      </c>
      <c r="K8" s="38"/>
      <c r="L8" s="38"/>
      <c r="M8" s="38"/>
      <c r="N8" s="133"/>
      <c r="O8" s="155"/>
      <c r="P8" s="155"/>
      <c r="Q8" s="155"/>
      <c r="R8" s="133"/>
      <c r="S8" s="38"/>
      <c r="T8" s="38">
        <f aca="true" t="shared" si="7" ref="T8:T34">SUM(J8:S8)</f>
        <v>1232.49</v>
      </c>
      <c r="U8" s="31">
        <f>+ISRAbril2021!O35</f>
        <v>84.4357792</v>
      </c>
      <c r="V8" s="31">
        <f>+ISRAbril2021!P35</f>
        <v>67.83</v>
      </c>
      <c r="W8" s="31">
        <f aca="true" t="shared" si="8" ref="W8:W28">+U8-V8</f>
        <v>16.6057792</v>
      </c>
      <c r="X8" s="31">
        <v>0</v>
      </c>
      <c r="Y8" s="134">
        <f>+'COP TUXTLA'!V8</f>
        <v>70.88449926578392</v>
      </c>
      <c r="Z8" s="31"/>
      <c r="AA8" s="31">
        <v>0</v>
      </c>
      <c r="AB8" s="31">
        <f t="shared" si="0"/>
        <v>87.49027846578392</v>
      </c>
      <c r="AC8" s="31">
        <f t="shared" si="1"/>
        <v>1144.9997215342162</v>
      </c>
      <c r="AD8" s="146">
        <v>300</v>
      </c>
      <c r="AE8" s="146">
        <v>278.41</v>
      </c>
      <c r="AF8" s="135">
        <f aca="true" t="shared" si="9" ref="AF8:AF31">AD8+AE8</f>
        <v>578.4100000000001</v>
      </c>
      <c r="AG8" s="204">
        <f t="shared" si="2"/>
        <v>566.5897215342161</v>
      </c>
      <c r="AH8" s="212" t="s">
        <v>206</v>
      </c>
      <c r="AI8" s="201"/>
      <c r="AJ8" s="243" t="str">
        <f aca="true" t="shared" si="10" ref="AJ8:AJ35">B8</f>
        <v>B</v>
      </c>
      <c r="AK8" s="244">
        <v>2905.1549999999997</v>
      </c>
      <c r="AL8" s="202">
        <v>35.58505600000001</v>
      </c>
      <c r="AM8" s="202">
        <v>0</v>
      </c>
      <c r="AN8" s="202">
        <v>0</v>
      </c>
      <c r="AO8" s="202">
        <v>70.88449926578392</v>
      </c>
      <c r="AP8" s="244">
        <f aca="true" t="shared" si="11" ref="AP8:AP32">SUM(AL8:AO8)</f>
        <v>106.46955526578392</v>
      </c>
      <c r="AQ8" s="244">
        <f aca="true" t="shared" si="12" ref="AQ8:AQ34">AK8-AP8</f>
        <v>2798.6854447342157</v>
      </c>
      <c r="AR8" s="202">
        <f aca="true" t="shared" si="13" ref="AR8:AR34">+AK8-AP8</f>
        <v>2798.6854447342157</v>
      </c>
      <c r="AS8" s="217">
        <f aca="true" t="shared" si="14" ref="AS8:AS34">AC8-AR8</f>
        <v>-1653.6857231999995</v>
      </c>
      <c r="AT8" s="202">
        <f t="shared" si="3"/>
        <v>1144.9997215342162</v>
      </c>
      <c r="AV8" s="202">
        <v>3713.37</v>
      </c>
      <c r="AW8" s="202">
        <f t="shared" si="4"/>
        <v>-1653.6857231999995</v>
      </c>
      <c r="AX8" s="250">
        <f t="shared" si="5"/>
        <v>5367.055723199999</v>
      </c>
      <c r="AZ8" s="133">
        <f>(((G8/8)*2)*9)*2</f>
        <v>792.3149999999999</v>
      </c>
      <c r="BA8" s="38">
        <f>9.03*30</f>
        <v>270.9</v>
      </c>
      <c r="BB8" s="180"/>
    </row>
    <row r="9" spans="1:54" ht="15">
      <c r="A9" s="32" t="s">
        <v>181</v>
      </c>
      <c r="B9" s="225" t="str">
        <f>+modsalario2021!B6</f>
        <v>C</v>
      </c>
      <c r="C9" s="257">
        <f>+modsalario2021!C6</f>
        <v>71088919221</v>
      </c>
      <c r="D9" s="257">
        <f>+modsalario2021!D6</f>
        <v>0</v>
      </c>
      <c r="E9" s="282" t="str">
        <f>+modsalario2021!E6</f>
        <v>GOPA890224584</v>
      </c>
      <c r="F9" s="282" t="str">
        <f>+modsalario2021!F6</f>
        <v>GOPA890224HCSNRL00</v>
      </c>
      <c r="G9" s="31">
        <f>+modsalario2021!I6</f>
        <v>158.025</v>
      </c>
      <c r="H9" s="31">
        <f>+modsalario2021!Q6</f>
        <v>176.579547953007</v>
      </c>
      <c r="I9" s="147">
        <v>0</v>
      </c>
      <c r="J9" s="38">
        <f>(G9*I9)</f>
        <v>0</v>
      </c>
      <c r="K9" s="38"/>
      <c r="L9" s="38"/>
      <c r="M9" s="38"/>
      <c r="N9" s="148"/>
      <c r="O9" s="38"/>
      <c r="P9" s="148"/>
      <c r="Q9" s="38"/>
      <c r="R9" s="133"/>
      <c r="S9" s="38"/>
      <c r="T9" s="38">
        <f t="shared" si="7"/>
        <v>0</v>
      </c>
      <c r="U9" s="31">
        <f>+ISRAbril2021!O36</f>
        <v>0</v>
      </c>
      <c r="V9" s="31">
        <f>+ISRAbril2021!P36</f>
        <v>0</v>
      </c>
      <c r="W9" s="31">
        <v>0</v>
      </c>
      <c r="X9" s="31">
        <v>0</v>
      </c>
      <c r="Y9" s="134">
        <f>+'COP TUXTLA'!V9</f>
        <v>63.954905024229724</v>
      </c>
      <c r="Z9" s="31"/>
      <c r="AA9" s="31"/>
      <c r="AB9" s="31">
        <f t="shared" si="0"/>
        <v>63.954905024229724</v>
      </c>
      <c r="AC9" s="31">
        <f t="shared" si="1"/>
        <v>-63.954905024229724</v>
      </c>
      <c r="AD9" s="146">
        <v>0</v>
      </c>
      <c r="AE9" s="146">
        <v>0</v>
      </c>
      <c r="AF9" s="135">
        <f t="shared" si="9"/>
        <v>0</v>
      </c>
      <c r="AG9" s="204">
        <f t="shared" si="2"/>
        <v>-63.954905024229724</v>
      </c>
      <c r="AH9" s="212" t="s">
        <v>206</v>
      </c>
      <c r="AI9" s="201"/>
      <c r="AJ9" s="243" t="str">
        <f t="shared" si="10"/>
        <v>C</v>
      </c>
      <c r="AK9" s="244">
        <v>1261.513575</v>
      </c>
      <c r="AL9" s="202">
        <v>0</v>
      </c>
      <c r="AM9" s="202">
        <v>-134.1657712</v>
      </c>
      <c r="AN9" s="202"/>
      <c r="AO9" s="202">
        <v>63.954905024229724</v>
      </c>
      <c r="AP9" s="244">
        <f t="shared" si="11"/>
        <v>-70.21086617577026</v>
      </c>
      <c r="AQ9" s="244">
        <f t="shared" si="12"/>
        <v>1331.7244411757702</v>
      </c>
      <c r="AR9" s="202">
        <f t="shared" si="13"/>
        <v>1331.7244411757702</v>
      </c>
      <c r="AS9" s="217">
        <f t="shared" si="14"/>
        <v>-1395.6793461999998</v>
      </c>
      <c r="AT9" s="202">
        <f t="shared" si="3"/>
        <v>-63.954905024229674</v>
      </c>
      <c r="AV9" s="202">
        <v>3334.14</v>
      </c>
      <c r="AW9" s="202">
        <f t="shared" si="4"/>
        <v>-1395.6793461999998</v>
      </c>
      <c r="AX9" s="250">
        <f t="shared" si="5"/>
        <v>4729.8193462</v>
      </c>
      <c r="AZ9" s="133">
        <f>(((G9/8)*2)*9)*2</f>
        <v>711.1125000000001</v>
      </c>
      <c r="BA9" s="38">
        <f>9.03*30</f>
        <v>270.9</v>
      </c>
      <c r="BB9" s="180"/>
    </row>
    <row r="10" spans="1:54" ht="15">
      <c r="A10" s="32" t="s">
        <v>181</v>
      </c>
      <c r="B10" s="225" t="str">
        <f>+modsalario2021!B7</f>
        <v>D</v>
      </c>
      <c r="C10" s="257">
        <f>+modsalario2021!C7</f>
        <v>71038419710</v>
      </c>
      <c r="D10" s="257">
        <f>+modsalario2021!D7</f>
        <v>0</v>
      </c>
      <c r="E10" s="282" t="str">
        <f>+modsalario2021!E7</f>
        <v>LOEL840901CQA</v>
      </c>
      <c r="F10" s="282" t="str">
        <f>+modsalario2021!F7</f>
        <v>LOEL840901HCSPSS09</v>
      </c>
      <c r="G10" s="31">
        <f>+modsalario2021!I7</f>
        <v>176.07</v>
      </c>
      <c r="H10" s="31">
        <f>+modsalario2021!Q7</f>
        <v>195.7121636328805</v>
      </c>
      <c r="I10" s="147">
        <v>7</v>
      </c>
      <c r="J10" s="38">
        <f>(G10*I10)</f>
        <v>1232.49</v>
      </c>
      <c r="K10" s="38"/>
      <c r="L10" s="38"/>
      <c r="M10" s="197"/>
      <c r="N10" s="133"/>
      <c r="O10" s="151"/>
      <c r="P10" s="133"/>
      <c r="Q10" s="151"/>
      <c r="R10" s="133"/>
      <c r="S10" s="38"/>
      <c r="T10" s="38">
        <f t="shared" si="7"/>
        <v>1232.49</v>
      </c>
      <c r="U10" s="31">
        <f>+ISRAbril2021!O37</f>
        <v>84.4357792</v>
      </c>
      <c r="V10" s="31">
        <f>+ISRAbril2021!P37</f>
        <v>67.83</v>
      </c>
      <c r="W10" s="31">
        <f t="shared" si="8"/>
        <v>16.6057792</v>
      </c>
      <c r="X10" s="31">
        <v>0</v>
      </c>
      <c r="Y10" s="134">
        <f>+'COP TUXTLA'!V10</f>
        <v>70.88449926578392</v>
      </c>
      <c r="Z10" s="31"/>
      <c r="AA10" s="31"/>
      <c r="AB10" s="31">
        <f t="shared" si="0"/>
        <v>87.49027846578392</v>
      </c>
      <c r="AC10" s="31">
        <f t="shared" si="1"/>
        <v>1144.9997215342162</v>
      </c>
      <c r="AD10" s="146">
        <v>100</v>
      </c>
      <c r="AE10" s="146">
        <v>358.33</v>
      </c>
      <c r="AF10" s="135">
        <f t="shared" si="9"/>
        <v>458.33</v>
      </c>
      <c r="AG10" s="204">
        <f t="shared" si="2"/>
        <v>686.6697215342163</v>
      </c>
      <c r="AH10" s="212" t="s">
        <v>206</v>
      </c>
      <c r="AI10" s="201"/>
      <c r="AJ10" s="243" t="str">
        <f t="shared" si="10"/>
        <v>D</v>
      </c>
      <c r="AK10" s="244">
        <v>2971.1812499999996</v>
      </c>
      <c r="AL10" s="202">
        <v>42.768711999999994</v>
      </c>
      <c r="AM10" s="202">
        <v>0</v>
      </c>
      <c r="AN10" s="202"/>
      <c r="AO10" s="202">
        <v>70.88449926578392</v>
      </c>
      <c r="AP10" s="244">
        <f t="shared" si="11"/>
        <v>113.65321126578391</v>
      </c>
      <c r="AQ10" s="244">
        <f t="shared" si="12"/>
        <v>2857.528038734216</v>
      </c>
      <c r="AR10" s="202">
        <f t="shared" si="13"/>
        <v>2857.528038734216</v>
      </c>
      <c r="AS10" s="217">
        <f t="shared" si="14"/>
        <v>-1712.5283171999997</v>
      </c>
      <c r="AT10" s="202">
        <f t="shared" si="3"/>
        <v>1144.9997215342162</v>
      </c>
      <c r="AV10" s="202">
        <v>6525.86</v>
      </c>
      <c r="AW10" s="202">
        <f t="shared" si="4"/>
        <v>-1712.5283171999997</v>
      </c>
      <c r="AX10" s="250">
        <f t="shared" si="5"/>
        <v>8238.388317199999</v>
      </c>
      <c r="AZ10" s="133">
        <f>(((G10/8)*2)*9)*2</f>
        <v>792.3149999999999</v>
      </c>
      <c r="BA10" s="38">
        <f>9.03*30</f>
        <v>270.9</v>
      </c>
      <c r="BB10" s="180"/>
    </row>
    <row r="11" spans="1:54" ht="15">
      <c r="A11" s="32" t="s">
        <v>181</v>
      </c>
      <c r="B11" s="225" t="str">
        <f>+modsalario2021!B8</f>
        <v>E</v>
      </c>
      <c r="C11" s="257">
        <f>+modsalario2021!C8</f>
        <v>71937835008</v>
      </c>
      <c r="D11" s="257">
        <f>+modsalario2021!D8</f>
        <v>0</v>
      </c>
      <c r="E11" s="282" t="str">
        <f>+modsalario2021!E8</f>
        <v>LAGM780425FZ2</v>
      </c>
      <c r="F11" s="282" t="str">
        <f>+modsalario2021!F8</f>
        <v>LAGM780425HCSRRR05</v>
      </c>
      <c r="G11" s="31">
        <f>+modsalario2021!I8</f>
        <v>162</v>
      </c>
      <c r="H11" s="31">
        <f>+modsalario2021!Q8</f>
        <v>180.57234265382223</v>
      </c>
      <c r="I11" s="147">
        <v>7</v>
      </c>
      <c r="J11" s="38">
        <f t="shared" si="6"/>
        <v>1134</v>
      </c>
      <c r="K11" s="38"/>
      <c r="L11" s="38"/>
      <c r="M11" s="38"/>
      <c r="N11" s="38"/>
      <c r="O11" s="38"/>
      <c r="P11" s="133"/>
      <c r="Q11" s="38"/>
      <c r="R11" s="133"/>
      <c r="S11" s="38"/>
      <c r="T11" s="38">
        <f t="shared" si="7"/>
        <v>1134</v>
      </c>
      <c r="U11" s="31">
        <f>+ISRAbril2021!O38</f>
        <v>84.98641599999996</v>
      </c>
      <c r="V11" s="31">
        <f>+ISRAbril2021!P38</f>
        <v>67.83</v>
      </c>
      <c r="W11" s="31">
        <f t="shared" si="8"/>
        <v>17.156415999999965</v>
      </c>
      <c r="X11" s="31">
        <v>0</v>
      </c>
      <c r="Y11" s="134">
        <f>+'COP TUXTLA'!V11</f>
        <v>65.40104535493124</v>
      </c>
      <c r="Z11" s="31"/>
      <c r="AA11" s="31"/>
      <c r="AB11" s="31">
        <f t="shared" si="0"/>
        <v>82.5574613549312</v>
      </c>
      <c r="AC11" s="31">
        <f t="shared" si="1"/>
        <v>1051.442538645069</v>
      </c>
      <c r="AD11" s="146">
        <v>0</v>
      </c>
      <c r="AE11" s="146">
        <v>544.44</v>
      </c>
      <c r="AF11" s="135">
        <f t="shared" si="9"/>
        <v>544.44</v>
      </c>
      <c r="AG11" s="204">
        <f t="shared" si="2"/>
        <v>507.00253864506885</v>
      </c>
      <c r="AH11" s="212" t="s">
        <v>206</v>
      </c>
      <c r="AI11" s="201"/>
      <c r="AJ11" s="243" t="str">
        <f t="shared" si="10"/>
        <v>E</v>
      </c>
      <c r="AK11" s="244">
        <v>3568.05</v>
      </c>
      <c r="AL11" s="202">
        <v>145.65803200000002</v>
      </c>
      <c r="AM11" s="202">
        <v>0</v>
      </c>
      <c r="AN11" s="202"/>
      <c r="AO11" s="202">
        <v>65.40104535493124</v>
      </c>
      <c r="AP11" s="244">
        <f t="shared" si="11"/>
        <v>211.05907735493128</v>
      </c>
      <c r="AQ11" s="244">
        <f t="shared" si="12"/>
        <v>3356.990922645069</v>
      </c>
      <c r="AR11" s="202">
        <f t="shared" si="13"/>
        <v>3356.990922645069</v>
      </c>
      <c r="AS11" s="217">
        <f t="shared" si="14"/>
        <v>-2305.548384</v>
      </c>
      <c r="AT11" s="202">
        <f t="shared" si="3"/>
        <v>1051.442538645069</v>
      </c>
      <c r="AV11" s="202">
        <v>1250</v>
      </c>
      <c r="AW11" s="202">
        <f t="shared" si="4"/>
        <v>-2305.548384</v>
      </c>
      <c r="AX11" s="250">
        <f>AV11-AW11</f>
        <v>3555.548384</v>
      </c>
      <c r="AZ11" s="133">
        <f>(((G11/8)*2)*9)*2</f>
        <v>729</v>
      </c>
      <c r="BA11" s="38">
        <f>9.03*30</f>
        <v>270.9</v>
      </c>
      <c r="BB11" s="180"/>
    </row>
    <row r="12" spans="1:54" ht="15">
      <c r="A12" s="32" t="s">
        <v>181</v>
      </c>
      <c r="B12" s="225" t="str">
        <f>+modsalario2021!B9</f>
        <v>F</v>
      </c>
      <c r="C12" s="257">
        <f>+modsalario2021!C9</f>
        <v>71927247842</v>
      </c>
      <c r="D12" s="257">
        <f>+modsalario2021!D9</f>
        <v>0</v>
      </c>
      <c r="E12" s="282" t="str">
        <f>+modsalario2021!E9</f>
        <v>VEMG720123848</v>
      </c>
      <c r="F12" s="282" t="str">
        <f>+modsalario2021!F9</f>
        <v>VEMG720123HCSLNL08</v>
      </c>
      <c r="G12" s="31">
        <f>+modsalario2021!I9</f>
        <v>176.07</v>
      </c>
      <c r="H12" s="31">
        <f>+modsalario2021!Q9</f>
        <v>195.71260475270168</v>
      </c>
      <c r="I12" s="147">
        <v>7</v>
      </c>
      <c r="J12" s="38">
        <f t="shared" si="6"/>
        <v>1232.49</v>
      </c>
      <c r="K12" s="38"/>
      <c r="L12" s="38"/>
      <c r="M12" s="38"/>
      <c r="N12" s="133"/>
      <c r="O12" s="133"/>
      <c r="P12" s="133"/>
      <c r="Q12" s="133"/>
      <c r="R12" s="202"/>
      <c r="S12" s="202"/>
      <c r="T12" s="38">
        <f t="shared" si="7"/>
        <v>1232.49</v>
      </c>
      <c r="U12" s="31">
        <f>+ISRAbril2021!O39</f>
        <v>84.4357792</v>
      </c>
      <c r="V12" s="31">
        <f>+ISRAbril2021!P39</f>
        <v>67.83</v>
      </c>
      <c r="W12" s="31">
        <f t="shared" si="8"/>
        <v>16.6057792</v>
      </c>
      <c r="X12" s="31">
        <v>0</v>
      </c>
      <c r="Y12" s="134">
        <f>+'COP TUXTLA'!V12</f>
        <v>70.88465903386913</v>
      </c>
      <c r="Z12" s="31"/>
      <c r="AA12" s="149">
        <v>680</v>
      </c>
      <c r="AB12" s="31">
        <f t="shared" si="0"/>
        <v>767.4904382338691</v>
      </c>
      <c r="AC12" s="31">
        <f t="shared" si="1"/>
        <v>464.9995617661309</v>
      </c>
      <c r="AD12" s="146">
        <v>200</v>
      </c>
      <c r="AE12" s="146">
        <v>0</v>
      </c>
      <c r="AF12" s="135">
        <f t="shared" si="9"/>
        <v>200</v>
      </c>
      <c r="AG12" s="204">
        <f t="shared" si="2"/>
        <v>264.9995617661309</v>
      </c>
      <c r="AH12" s="212" t="s">
        <v>206</v>
      </c>
      <c r="AI12" s="201"/>
      <c r="AJ12" s="243" t="str">
        <f t="shared" si="10"/>
        <v>F</v>
      </c>
      <c r="AK12" s="244">
        <v>3169.2599999999998</v>
      </c>
      <c r="AL12" s="202">
        <v>84.56968</v>
      </c>
      <c r="AM12" s="202">
        <v>0</v>
      </c>
      <c r="AN12" s="202">
        <v>680</v>
      </c>
      <c r="AO12" s="202">
        <v>70.88465903386913</v>
      </c>
      <c r="AP12" s="244">
        <f t="shared" si="11"/>
        <v>835.4543390338692</v>
      </c>
      <c r="AQ12" s="244">
        <f t="shared" si="12"/>
        <v>2333.8056609661307</v>
      </c>
      <c r="AR12" s="202">
        <f t="shared" si="13"/>
        <v>2333.8056609661307</v>
      </c>
      <c r="AS12" s="217">
        <f t="shared" si="14"/>
        <v>-1868.8060991999998</v>
      </c>
      <c r="AT12" s="202">
        <f t="shared" si="3"/>
        <v>464.9995617661309</v>
      </c>
      <c r="AV12" s="202">
        <v>0</v>
      </c>
      <c r="AW12" s="202">
        <f t="shared" si="4"/>
        <v>-1868.8060991999998</v>
      </c>
      <c r="AX12" s="217">
        <f t="shared" si="5"/>
        <v>1868.8060991999998</v>
      </c>
      <c r="AZ12" s="133">
        <f>((G12/8)*2)*12.5</f>
        <v>550.21875</v>
      </c>
      <c r="BA12" s="38">
        <v>0</v>
      </c>
      <c r="BB12" s="180"/>
    </row>
    <row r="13" spans="1:54" ht="15">
      <c r="A13" s="32" t="s">
        <v>181</v>
      </c>
      <c r="B13" s="225" t="str">
        <f>+modsalario2021!B10</f>
        <v>G</v>
      </c>
      <c r="C13" s="257">
        <f>+modsalario2021!C10</f>
        <v>71008312234</v>
      </c>
      <c r="D13" s="257">
        <f>+modsalario2021!D10</f>
        <v>0</v>
      </c>
      <c r="E13" s="282" t="str">
        <f>+modsalario2021!E10</f>
        <v>PEHF830502DJ2</v>
      </c>
      <c r="F13" s="282" t="str">
        <f>+modsalario2021!F10</f>
        <v>PEHF830502HCSRRL04</v>
      </c>
      <c r="G13" s="31">
        <f>+modsalario2021!I10</f>
        <v>176.07</v>
      </c>
      <c r="H13" s="31">
        <f>+modsalario2021!Q10</f>
        <v>195.47097185205857</v>
      </c>
      <c r="I13" s="147">
        <v>7</v>
      </c>
      <c r="J13" s="38">
        <f t="shared" si="6"/>
        <v>1232.49</v>
      </c>
      <c r="K13" s="38"/>
      <c r="L13" s="38"/>
      <c r="M13" s="197"/>
      <c r="N13" s="133"/>
      <c r="O13" s="133"/>
      <c r="P13" s="133"/>
      <c r="Q13" s="133"/>
      <c r="R13" s="133"/>
      <c r="S13" s="38"/>
      <c r="T13" s="38">
        <f t="shared" si="7"/>
        <v>1232.49</v>
      </c>
      <c r="U13" s="31">
        <f>+ISRAbril2021!O40</f>
        <v>84.4357792</v>
      </c>
      <c r="V13" s="31">
        <f>+ISRAbril2021!P40</f>
        <v>67.83</v>
      </c>
      <c r="W13" s="31">
        <f t="shared" si="8"/>
        <v>16.6057792</v>
      </c>
      <c r="X13" s="31">
        <v>0</v>
      </c>
      <c r="Y13" s="134">
        <f>+'COP TUXTLA'!V13</f>
        <v>70.79714261766748</v>
      </c>
      <c r="Z13" s="31">
        <v>0</v>
      </c>
      <c r="AA13" s="151"/>
      <c r="AB13" s="31">
        <f t="shared" si="0"/>
        <v>87.40292181766748</v>
      </c>
      <c r="AC13" s="31">
        <f t="shared" si="1"/>
        <v>1145.0870781823326</v>
      </c>
      <c r="AD13" s="146">
        <v>300</v>
      </c>
      <c r="AE13" s="146">
        <v>0</v>
      </c>
      <c r="AF13" s="135">
        <f t="shared" si="9"/>
        <v>300</v>
      </c>
      <c r="AG13" s="204">
        <f t="shared" si="2"/>
        <v>845.0870781823326</v>
      </c>
      <c r="AH13" s="212" t="s">
        <v>206</v>
      </c>
      <c r="AI13" s="201"/>
      <c r="AJ13" s="243" t="str">
        <f t="shared" si="10"/>
        <v>G</v>
      </c>
      <c r="AK13" s="244">
        <v>3169.2599999999998</v>
      </c>
      <c r="AL13" s="202">
        <v>84.56968</v>
      </c>
      <c r="AM13" s="202">
        <v>0</v>
      </c>
      <c r="AN13" s="202"/>
      <c r="AO13" s="202">
        <v>70.79714261766748</v>
      </c>
      <c r="AP13" s="244">
        <f t="shared" si="11"/>
        <v>155.36682261766748</v>
      </c>
      <c r="AQ13" s="244">
        <f t="shared" si="12"/>
        <v>3013.8931773823324</v>
      </c>
      <c r="AR13" s="202">
        <f t="shared" si="13"/>
        <v>3013.8931773823324</v>
      </c>
      <c r="AS13" s="217">
        <f t="shared" si="14"/>
        <v>-1868.8060991999998</v>
      </c>
      <c r="AT13" s="202">
        <f t="shared" si="3"/>
        <v>1145.0870781823326</v>
      </c>
      <c r="AV13" s="202">
        <v>266</v>
      </c>
      <c r="AW13" s="202">
        <f t="shared" si="4"/>
        <v>-1868.8060991999998</v>
      </c>
      <c r="AX13" s="250">
        <f t="shared" si="5"/>
        <v>2134.8060992</v>
      </c>
      <c r="AZ13" s="133">
        <f>((G13/8)*2)*5.55</f>
        <v>244.297125</v>
      </c>
      <c r="BA13" s="38">
        <v>0</v>
      </c>
      <c r="BB13" s="180"/>
    </row>
    <row r="14" spans="1:54" ht="15">
      <c r="A14" s="32" t="s">
        <v>181</v>
      </c>
      <c r="B14" s="225" t="str">
        <f>+modsalario2021!B11</f>
        <v>H</v>
      </c>
      <c r="C14" s="257">
        <f>+modsalario2021!C11</f>
        <v>75169672997</v>
      </c>
      <c r="D14" s="257">
        <f>+modsalario2021!D11</f>
        <v>0</v>
      </c>
      <c r="E14" s="282" t="str">
        <f>+modsalario2021!E11</f>
        <v>MOCJ960423650</v>
      </c>
      <c r="F14" s="282" t="str">
        <f>+modsalario2021!F11</f>
        <v>MOCJ960423HCSRHM09</v>
      </c>
      <c r="G14" s="204">
        <f>+modsalario2021!I11</f>
        <v>152.42</v>
      </c>
      <c r="H14" s="204">
        <f>+modsalario2021!Q11</f>
        <v>170.4284355201248</v>
      </c>
      <c r="I14" s="147">
        <v>7</v>
      </c>
      <c r="J14" s="38">
        <f t="shared" si="6"/>
        <v>1066.9399999999998</v>
      </c>
      <c r="K14" s="38"/>
      <c r="L14" s="38"/>
      <c r="M14" s="38"/>
      <c r="N14" s="133"/>
      <c r="O14" s="151"/>
      <c r="P14" s="151"/>
      <c r="Q14" s="151"/>
      <c r="R14" s="133"/>
      <c r="S14" s="38"/>
      <c r="T14" s="38">
        <f t="shared" si="7"/>
        <v>1066.9399999999998</v>
      </c>
      <c r="U14" s="31">
        <f>+ISRAbril2021!O41</f>
        <v>68.48433599999998</v>
      </c>
      <c r="V14" s="31">
        <f>+ISRAbril2021!P41</f>
        <v>74.83</v>
      </c>
      <c r="W14" s="31">
        <f t="shared" si="8"/>
        <v>-6.3456640000000135</v>
      </c>
      <c r="X14" s="31">
        <v>0</v>
      </c>
      <c r="Y14" s="134">
        <f>+'COP TUXTLA'!V14</f>
        <v>61.7270489899452</v>
      </c>
      <c r="Z14" s="31"/>
      <c r="AB14" s="31">
        <f t="shared" si="0"/>
        <v>55.38138498994519</v>
      </c>
      <c r="AC14" s="31">
        <f t="shared" si="1"/>
        <v>1011.5586150100546</v>
      </c>
      <c r="AD14" s="146">
        <v>250</v>
      </c>
      <c r="AE14" s="146">
        <v>418</v>
      </c>
      <c r="AF14" s="135">
        <f t="shared" si="9"/>
        <v>668</v>
      </c>
      <c r="AG14" s="204">
        <f t="shared" si="2"/>
        <v>343.5586150100546</v>
      </c>
      <c r="AH14" s="213" t="s">
        <v>206</v>
      </c>
      <c r="AI14" s="201"/>
      <c r="AJ14" s="243" t="str">
        <f t="shared" si="10"/>
        <v>H</v>
      </c>
      <c r="AK14" s="244">
        <v>2629.245</v>
      </c>
      <c r="AL14" s="202">
        <v>0</v>
      </c>
      <c r="AM14" s="202">
        <v>-6.280959999999993</v>
      </c>
      <c r="AN14" s="202"/>
      <c r="AO14" s="202">
        <v>61.7270489899452</v>
      </c>
      <c r="AP14" s="244">
        <f t="shared" si="11"/>
        <v>55.44608898994521</v>
      </c>
      <c r="AQ14" s="244">
        <f t="shared" si="12"/>
        <v>2573.798911010055</v>
      </c>
      <c r="AR14" s="202">
        <f t="shared" si="13"/>
        <v>2573.798911010055</v>
      </c>
      <c r="AS14" s="217">
        <f t="shared" si="14"/>
        <v>-1562.2402960000002</v>
      </c>
      <c r="AT14" s="202">
        <f t="shared" si="3"/>
        <v>1011.5586150100546</v>
      </c>
      <c r="AV14" s="202">
        <v>2796.8</v>
      </c>
      <c r="AW14" s="202">
        <f t="shared" si="4"/>
        <v>-1562.2402960000002</v>
      </c>
      <c r="AX14" s="250">
        <f t="shared" si="5"/>
        <v>4359.040296</v>
      </c>
      <c r="AZ14" s="133">
        <f>(((G14/8)*2)*9)*2</f>
        <v>685.89</v>
      </c>
      <c r="BA14" s="38">
        <f>9.03*30</f>
        <v>270.9</v>
      </c>
      <c r="BB14" s="180"/>
    </row>
    <row r="15" spans="1:54" ht="15">
      <c r="A15" s="32" t="s">
        <v>181</v>
      </c>
      <c r="B15" s="225" t="str">
        <f>+modsalario2021!B12</f>
        <v>I</v>
      </c>
      <c r="C15" s="257">
        <f>+modsalario2021!C12</f>
        <v>71927733593</v>
      </c>
      <c r="D15" s="257">
        <f>+modsalario2021!D12</f>
        <v>0</v>
      </c>
      <c r="E15" s="282" t="str">
        <f>+modsalario2021!E12</f>
        <v>OAGM770905RZ9</v>
      </c>
      <c r="F15" s="282" t="str">
        <f>+modsalario2021!F12</f>
        <v>OAGM770905HCSRMS02</v>
      </c>
      <c r="G15" s="31">
        <f>+modsalario2021!I12</f>
        <v>176.07</v>
      </c>
      <c r="H15" s="31">
        <f>+modsalario2021!Q12</f>
        <v>194.7476712328767</v>
      </c>
      <c r="I15" s="147">
        <v>7</v>
      </c>
      <c r="J15" s="38">
        <f t="shared" si="6"/>
        <v>1232.49</v>
      </c>
      <c r="K15" s="38"/>
      <c r="L15" s="38"/>
      <c r="M15" s="197"/>
      <c r="N15" s="133"/>
      <c r="O15" s="151"/>
      <c r="P15" s="151"/>
      <c r="Q15" s="151"/>
      <c r="R15" s="133"/>
      <c r="S15" s="38"/>
      <c r="T15" s="38">
        <f t="shared" si="7"/>
        <v>1232.49</v>
      </c>
      <c r="U15" s="31">
        <f>+ISRAbril2021!O42</f>
        <v>84.4357792</v>
      </c>
      <c r="V15" s="31">
        <f>+ISRAbril2021!P42</f>
        <v>67.83</v>
      </c>
      <c r="W15" s="31">
        <f t="shared" si="8"/>
        <v>16.6057792</v>
      </c>
      <c r="X15" s="31">
        <v>0</v>
      </c>
      <c r="Y15" s="134">
        <f>+'COP TUXTLA'!V15</f>
        <v>70.53517217465753</v>
      </c>
      <c r="Z15" s="31"/>
      <c r="AA15" s="135">
        <v>0</v>
      </c>
      <c r="AB15" s="31">
        <f t="shared" si="0"/>
        <v>87.14095137465753</v>
      </c>
      <c r="AC15" s="31">
        <f t="shared" si="1"/>
        <v>1145.3490486253424</v>
      </c>
      <c r="AD15" s="146">
        <v>150</v>
      </c>
      <c r="AE15" s="146">
        <v>692.39</v>
      </c>
      <c r="AF15" s="135">
        <f t="shared" si="9"/>
        <v>842.39</v>
      </c>
      <c r="AG15" s="204">
        <f t="shared" si="2"/>
        <v>302.95904862534246</v>
      </c>
      <c r="AH15" s="212" t="s">
        <v>199</v>
      </c>
      <c r="AI15" s="201"/>
      <c r="AJ15" s="243" t="str">
        <f t="shared" si="10"/>
        <v>I</v>
      </c>
      <c r="AK15" s="244">
        <v>3169.2599999999998</v>
      </c>
      <c r="AL15" s="202">
        <v>84.56968</v>
      </c>
      <c r="AM15" s="202">
        <v>0</v>
      </c>
      <c r="AN15" s="202">
        <v>0</v>
      </c>
      <c r="AO15" s="202">
        <v>70.53517217465753</v>
      </c>
      <c r="AP15" s="244">
        <f t="shared" si="11"/>
        <v>155.10485217465754</v>
      </c>
      <c r="AQ15" s="244">
        <f t="shared" si="12"/>
        <v>3014.1551478253423</v>
      </c>
      <c r="AR15" s="202">
        <f t="shared" si="13"/>
        <v>3014.1551478253423</v>
      </c>
      <c r="AS15" s="217">
        <f t="shared" si="14"/>
        <v>-1868.8060991999998</v>
      </c>
      <c r="AT15" s="202">
        <f t="shared" si="3"/>
        <v>1145.3490486253424</v>
      </c>
      <c r="AV15" s="202">
        <v>2162.14</v>
      </c>
      <c r="AW15" s="202">
        <f t="shared" si="4"/>
        <v>-1868.8060991999998</v>
      </c>
      <c r="AX15" s="250">
        <f t="shared" si="5"/>
        <v>4030.9460991999995</v>
      </c>
      <c r="AZ15" s="133">
        <f>(((G15/8)*2)*9)*2</f>
        <v>792.3149999999999</v>
      </c>
      <c r="BA15" s="38">
        <f>9.03*30</f>
        <v>270.9</v>
      </c>
      <c r="BB15" s="180"/>
    </row>
    <row r="16" spans="1:54" ht="15">
      <c r="A16" s="32" t="s">
        <v>181</v>
      </c>
      <c r="B16" s="225" t="str">
        <f>+modsalario2021!B13</f>
        <v>J</v>
      </c>
      <c r="C16" s="284">
        <f>+modsalario2021!C13</f>
        <v>71108817504</v>
      </c>
      <c r="D16" s="257">
        <f>+modsalario2021!D13</f>
        <v>0</v>
      </c>
      <c r="E16" s="282" t="str">
        <f>+modsalario2021!E13</f>
        <v>GORE881124</v>
      </c>
      <c r="F16" s="282" t="str">
        <f>+modsalario2021!F13</f>
        <v>GORE881124HCSMDM02</v>
      </c>
      <c r="G16" s="31">
        <f>+modsalario2021!I13</f>
        <v>176.07</v>
      </c>
      <c r="H16" s="31">
        <f>+modsalario2021!Q13</f>
        <v>194.98886301369862</v>
      </c>
      <c r="I16" s="147">
        <v>7</v>
      </c>
      <c r="J16" s="38">
        <f t="shared" si="6"/>
        <v>1232.49</v>
      </c>
      <c r="K16" s="38"/>
      <c r="L16" s="38"/>
      <c r="M16" s="197"/>
      <c r="N16" s="133"/>
      <c r="O16" s="133"/>
      <c r="P16" s="133"/>
      <c r="Q16" s="133"/>
      <c r="R16" s="133"/>
      <c r="S16" s="38"/>
      <c r="T16" s="38">
        <f t="shared" si="7"/>
        <v>1232.49</v>
      </c>
      <c r="U16" s="31">
        <f>+ISRAbril2021!O43</f>
        <v>84.4357792</v>
      </c>
      <c r="V16" s="31">
        <f>+ISRAbril2021!P43</f>
        <v>67.83</v>
      </c>
      <c r="W16" s="31">
        <f t="shared" si="8"/>
        <v>16.6057792</v>
      </c>
      <c r="X16" s="31">
        <v>0</v>
      </c>
      <c r="Y16" s="134">
        <f>+'COP TUXTLA'!V16</f>
        <v>70.62252882277397</v>
      </c>
      <c r="Z16" s="31"/>
      <c r="AA16" s="31"/>
      <c r="AB16" s="31">
        <f t="shared" si="0"/>
        <v>87.22830802277397</v>
      </c>
      <c r="AC16" s="31">
        <f>T16-AB16</f>
        <v>1145.261691977226</v>
      </c>
      <c r="AD16" s="146">
        <v>200</v>
      </c>
      <c r="AE16" s="146">
        <v>193.42</v>
      </c>
      <c r="AF16" s="135">
        <f t="shared" si="9"/>
        <v>393.41999999999996</v>
      </c>
      <c r="AG16" s="204">
        <f t="shared" si="2"/>
        <v>751.8416919772261</v>
      </c>
      <c r="AH16" s="212" t="s">
        <v>206</v>
      </c>
      <c r="AI16" s="201"/>
      <c r="AJ16" s="243" t="str">
        <f t="shared" si="10"/>
        <v>J</v>
      </c>
      <c r="AK16" s="244">
        <v>3169.2599999999998</v>
      </c>
      <c r="AL16" s="202">
        <v>84.56968</v>
      </c>
      <c r="AM16" s="202">
        <v>0</v>
      </c>
      <c r="AN16" s="202"/>
      <c r="AO16" s="202">
        <v>70.62252882277397</v>
      </c>
      <c r="AP16" s="244">
        <f t="shared" si="11"/>
        <v>155.19220882277398</v>
      </c>
      <c r="AQ16" s="244">
        <f t="shared" si="12"/>
        <v>3014.067791177226</v>
      </c>
      <c r="AR16" s="202">
        <f t="shared" si="13"/>
        <v>3014.067791177226</v>
      </c>
      <c r="AS16" s="217">
        <f t="shared" si="14"/>
        <v>-1868.8060991999998</v>
      </c>
      <c r="AT16" s="202">
        <f t="shared" si="3"/>
        <v>1145.261691977226</v>
      </c>
      <c r="AV16" s="202">
        <v>1162.14</v>
      </c>
      <c r="AW16" s="202">
        <f t="shared" si="4"/>
        <v>-1868.8060991999998</v>
      </c>
      <c r="AX16" s="250">
        <f t="shared" si="5"/>
        <v>3030.9460992</v>
      </c>
      <c r="AZ16" s="133">
        <f>(((G16/8)*2)*9)*2</f>
        <v>792.3149999999999</v>
      </c>
      <c r="BA16" s="38">
        <f>9.03*30</f>
        <v>270.9</v>
      </c>
      <c r="BB16" s="180"/>
    </row>
    <row r="17" spans="1:54" ht="15">
      <c r="A17" s="32" t="s">
        <v>181</v>
      </c>
      <c r="B17" s="225" t="str">
        <f>+modsalario2021!B14</f>
        <v>K</v>
      </c>
      <c r="C17" s="284" t="str">
        <f>+modsalario2021!C14</f>
        <v>02188940387</v>
      </c>
      <c r="D17" s="257">
        <f>+modsalario2021!D14</f>
        <v>0</v>
      </c>
      <c r="E17" s="282" t="str">
        <f>+modsalario2021!E14</f>
        <v>PARS8910063DA</v>
      </c>
      <c r="F17" s="282" t="str">
        <f>+modsalario2021!F14</f>
        <v>PARS891006MCSRDT08</v>
      </c>
      <c r="G17" s="31">
        <f>+modsalario2021!I14</f>
        <v>283</v>
      </c>
      <c r="H17" s="31">
        <f>+modsalario2021!Q14</f>
        <v>307.9242339737279</v>
      </c>
      <c r="I17" s="147">
        <v>7</v>
      </c>
      <c r="J17" s="38">
        <f t="shared" si="6"/>
        <v>1981</v>
      </c>
      <c r="K17" s="38"/>
      <c r="L17" s="38"/>
      <c r="M17" s="197"/>
      <c r="N17" s="38"/>
      <c r="O17" s="38"/>
      <c r="P17" s="38"/>
      <c r="Q17" s="38"/>
      <c r="R17" s="133"/>
      <c r="S17" s="38"/>
      <c r="T17" s="38">
        <f t="shared" si="7"/>
        <v>1981</v>
      </c>
      <c r="U17" s="31">
        <f>+ISRAbril2021!O44</f>
        <v>174.01745599999998</v>
      </c>
      <c r="V17" s="31">
        <f>+ISRAbril2021!P44</f>
        <v>0</v>
      </c>
      <c r="W17" s="31">
        <f t="shared" si="8"/>
        <v>174.01745599999998</v>
      </c>
      <c r="X17" s="31">
        <v>0</v>
      </c>
      <c r="Y17" s="134">
        <f>+'COP TUXTLA'!V17</f>
        <v>114.40118991796223</v>
      </c>
      <c r="Z17" s="31"/>
      <c r="AB17" s="31">
        <f t="shared" si="0"/>
        <v>288.4186459179622</v>
      </c>
      <c r="AC17" s="31">
        <f t="shared" si="1"/>
        <v>1692.5813540820377</v>
      </c>
      <c r="AD17" s="146">
        <v>500</v>
      </c>
      <c r="AE17" s="146">
        <v>0</v>
      </c>
      <c r="AF17" s="135">
        <f t="shared" si="9"/>
        <v>500</v>
      </c>
      <c r="AG17" s="204">
        <f t="shared" si="2"/>
        <v>1192.5813540820377</v>
      </c>
      <c r="AH17" s="212" t="s">
        <v>206</v>
      </c>
      <c r="AI17" s="201"/>
      <c r="AJ17" s="243" t="str">
        <f t="shared" si="10"/>
        <v>K</v>
      </c>
      <c r="AK17" s="244">
        <v>5094</v>
      </c>
      <c r="AL17" s="202">
        <v>436.9903999999999</v>
      </c>
      <c r="AM17" s="202">
        <v>0</v>
      </c>
      <c r="AN17" s="202"/>
      <c r="AO17" s="202">
        <v>114.40118991796223</v>
      </c>
      <c r="AP17" s="244">
        <f t="shared" si="11"/>
        <v>551.3915899179622</v>
      </c>
      <c r="AQ17" s="244">
        <f t="shared" si="12"/>
        <v>4542.608410082038</v>
      </c>
      <c r="AR17" s="202">
        <f t="shared" si="13"/>
        <v>4542.608410082038</v>
      </c>
      <c r="AS17" s="217">
        <f t="shared" si="14"/>
        <v>-2850.0270560000004</v>
      </c>
      <c r="AT17" s="202">
        <f t="shared" si="3"/>
        <v>1692.5813540820377</v>
      </c>
      <c r="AV17" s="202">
        <v>712.31</v>
      </c>
      <c r="AW17" s="202">
        <f t="shared" si="4"/>
        <v>-2850.0270560000004</v>
      </c>
      <c r="AX17" s="250">
        <f t="shared" si="5"/>
        <v>3562.3370560000003</v>
      </c>
      <c r="AZ17" s="133">
        <f>(((G17/8)*2)*9)*2</f>
        <v>1273.5</v>
      </c>
      <c r="BA17" s="38">
        <f>9.03*30</f>
        <v>270.9</v>
      </c>
      <c r="BB17" s="180"/>
    </row>
    <row r="18" spans="1:54" ht="15">
      <c r="A18" s="32" t="s">
        <v>181</v>
      </c>
      <c r="B18" s="225" t="str">
        <f>+modsalario2021!B15</f>
        <v>L </v>
      </c>
      <c r="C18" s="284" t="str">
        <f>+modsalario2021!C15</f>
        <v>03189637725</v>
      </c>
      <c r="D18" s="257">
        <f>+modsalario2021!D15</f>
        <v>0</v>
      </c>
      <c r="E18" s="282" t="str">
        <f>+modsalario2021!E15</f>
        <v>VENO9606281XA</v>
      </c>
      <c r="F18" s="282" t="str">
        <f>+modsalario2021!F15</f>
        <v>VENO96062HCSLMS07</v>
      </c>
      <c r="G18" s="31">
        <f>+modsalario2021!I15</f>
        <v>176.07</v>
      </c>
      <c r="H18" s="31">
        <f>+modsalario2021!Q15</f>
        <v>194.98886301369862</v>
      </c>
      <c r="I18" s="147">
        <v>7</v>
      </c>
      <c r="J18" s="38">
        <f t="shared" si="6"/>
        <v>1232.49</v>
      </c>
      <c r="K18" s="38"/>
      <c r="L18" s="38"/>
      <c r="M18" s="197"/>
      <c r="N18" s="133"/>
      <c r="O18" s="133"/>
      <c r="P18" s="133"/>
      <c r="Q18" s="133"/>
      <c r="R18" s="133"/>
      <c r="S18" s="38"/>
      <c r="T18" s="38">
        <f t="shared" si="7"/>
        <v>1232.49</v>
      </c>
      <c r="U18" s="31">
        <f>+ISRAbril2021!O45</f>
        <v>84.4357792</v>
      </c>
      <c r="V18" s="31">
        <f>+ISRAbril2021!P45</f>
        <v>67.83</v>
      </c>
      <c r="W18" s="31">
        <f t="shared" si="8"/>
        <v>16.6057792</v>
      </c>
      <c r="X18" s="31">
        <v>0</v>
      </c>
      <c r="Y18" s="134">
        <f>+'COP TUXTLA'!V19</f>
        <v>70.62252882277397</v>
      </c>
      <c r="Z18" s="31"/>
      <c r="AA18" s="135"/>
      <c r="AB18" s="31">
        <f t="shared" si="0"/>
        <v>87.22830802277397</v>
      </c>
      <c r="AC18" s="31">
        <f>T18-AB18</f>
        <v>1145.261691977226</v>
      </c>
      <c r="AD18" s="146">
        <v>200</v>
      </c>
      <c r="AE18" s="146">
        <v>0</v>
      </c>
      <c r="AF18" s="135">
        <f t="shared" si="9"/>
        <v>200</v>
      </c>
      <c r="AG18" s="204">
        <f>AC18-AF18</f>
        <v>945.2616919772261</v>
      </c>
      <c r="AH18" s="212" t="s">
        <v>206</v>
      </c>
      <c r="AI18" s="201"/>
      <c r="AJ18" s="243" t="str">
        <f t="shared" si="10"/>
        <v>L </v>
      </c>
      <c r="AK18" s="244">
        <v>3169.2599999999998</v>
      </c>
      <c r="AL18" s="202">
        <v>84.56968</v>
      </c>
      <c r="AM18" s="202">
        <v>0</v>
      </c>
      <c r="AN18" s="202"/>
      <c r="AO18" s="202">
        <v>70.62252882277397</v>
      </c>
      <c r="AP18" s="244">
        <f t="shared" si="11"/>
        <v>155.19220882277398</v>
      </c>
      <c r="AQ18" s="244">
        <f t="shared" si="12"/>
        <v>3014.067791177226</v>
      </c>
      <c r="AR18" s="202">
        <f t="shared" si="13"/>
        <v>3014.067791177226</v>
      </c>
      <c r="AS18" s="217">
        <f t="shared" si="14"/>
        <v>-1868.8060991999998</v>
      </c>
      <c r="AT18" s="202">
        <f t="shared" si="3"/>
        <v>1145.261691977226</v>
      </c>
      <c r="AV18" s="202">
        <v>1858.35</v>
      </c>
      <c r="AW18" s="202">
        <f t="shared" si="4"/>
        <v>-1868.8060991999998</v>
      </c>
      <c r="AX18" s="250">
        <f t="shared" si="5"/>
        <v>3727.1560991999995</v>
      </c>
      <c r="AZ18" s="133">
        <f>((G18/8)*2)*12.75</f>
        <v>561.223125</v>
      </c>
      <c r="BA18" s="38">
        <v>0</v>
      </c>
      <c r="BB18" s="180"/>
    </row>
    <row r="19" spans="1:54" ht="15">
      <c r="A19" s="32" t="s">
        <v>181</v>
      </c>
      <c r="B19" s="225" t="str">
        <f>+modsalario2021!B16</f>
        <v>LL</v>
      </c>
      <c r="C19" s="284">
        <f>+modsalario2021!C16</f>
        <v>71027901744</v>
      </c>
      <c r="D19" s="257">
        <f>+modsalario2021!D16</f>
        <v>0</v>
      </c>
      <c r="E19" s="282" t="str">
        <f>+modsalario2021!E16</f>
        <v>GOFC791202AV7</v>
      </c>
      <c r="F19" s="282" t="str">
        <f>+modsalario2021!F16</f>
        <v>GOFC791202MCSMLL09</v>
      </c>
      <c r="G19" s="31">
        <f>+modsalario2021!I16</f>
        <v>152.42</v>
      </c>
      <c r="H19" s="31">
        <f>+modsalario2021!Q16</f>
        <v>170.0107193883578</v>
      </c>
      <c r="I19" s="147">
        <v>7</v>
      </c>
      <c r="J19" s="38">
        <f t="shared" si="6"/>
        <v>1066.9399999999998</v>
      </c>
      <c r="K19" s="38"/>
      <c r="L19" s="38"/>
      <c r="M19" s="197"/>
      <c r="N19" s="38"/>
      <c r="O19" s="38"/>
      <c r="P19" s="133"/>
      <c r="Q19" s="133"/>
      <c r="R19" s="133"/>
      <c r="S19" s="38"/>
      <c r="T19" s="38">
        <f t="shared" si="7"/>
        <v>1066.9399999999998</v>
      </c>
      <c r="U19" s="31">
        <f>+ISRAbril2021!O46</f>
        <v>128.07491519999996</v>
      </c>
      <c r="V19" s="31">
        <f>+ISRAbril2021!P46</f>
        <v>0</v>
      </c>
      <c r="W19" s="31">
        <f t="shared" si="8"/>
        <v>128.07491519999996</v>
      </c>
      <c r="X19" s="31">
        <v>0</v>
      </c>
      <c r="Y19" s="134">
        <f>+'COP TUXTLA'!V20</f>
        <v>61.575757428470844</v>
      </c>
      <c r="Z19" s="31">
        <v>0</v>
      </c>
      <c r="AA19" s="135"/>
      <c r="AB19" s="31">
        <f t="shared" si="0"/>
        <v>189.6506726284708</v>
      </c>
      <c r="AC19" s="31">
        <f>T19-AB19</f>
        <v>877.289327371529</v>
      </c>
      <c r="AD19" s="146">
        <v>300</v>
      </c>
      <c r="AE19" s="146">
        <v>0</v>
      </c>
      <c r="AF19" s="135">
        <f t="shared" si="9"/>
        <v>300</v>
      </c>
      <c r="AG19" s="204">
        <f>AC19-AF19</f>
        <v>577.289327371529</v>
      </c>
      <c r="AH19" s="212" t="s">
        <v>206</v>
      </c>
      <c r="AI19" s="201"/>
      <c r="AJ19" s="243" t="str">
        <f t="shared" si="10"/>
        <v>LL</v>
      </c>
      <c r="AK19" s="244">
        <v>3143.8559999999998</v>
      </c>
      <c r="AL19" s="202">
        <v>81.80572480000001</v>
      </c>
      <c r="AM19" s="202">
        <v>0</v>
      </c>
      <c r="AN19" s="202"/>
      <c r="AO19" s="202">
        <v>61.575757428470844</v>
      </c>
      <c r="AP19" s="244">
        <f t="shared" si="11"/>
        <v>143.38148222847084</v>
      </c>
      <c r="AQ19" s="244">
        <f t="shared" si="12"/>
        <v>3000.474517771529</v>
      </c>
      <c r="AR19" s="202">
        <f t="shared" si="13"/>
        <v>3000.474517771529</v>
      </c>
      <c r="AS19" s="217">
        <f t="shared" si="14"/>
        <v>-2123.1851904</v>
      </c>
      <c r="AT19" s="202">
        <f t="shared" si="3"/>
        <v>877.289327371529</v>
      </c>
      <c r="AV19" s="202">
        <v>712.31</v>
      </c>
      <c r="AW19" s="202">
        <f t="shared" si="4"/>
        <v>-2123.1851904</v>
      </c>
      <c r="AX19" s="250">
        <f t="shared" si="5"/>
        <v>2835.4951904</v>
      </c>
      <c r="AZ19" s="133">
        <f aca="true" t="shared" si="15" ref="AZ19:AZ24">(((G19/8)*2)*9)*2</f>
        <v>685.89</v>
      </c>
      <c r="BA19" s="38">
        <f aca="true" t="shared" si="16" ref="BA19:BA24">9.03*30</f>
        <v>270.9</v>
      </c>
      <c r="BB19" s="180"/>
    </row>
    <row r="20" spans="1:54" ht="15">
      <c r="A20" s="32" t="s">
        <v>181</v>
      </c>
      <c r="B20" s="225" t="str">
        <f>+modsalario2021!B17</f>
        <v>M</v>
      </c>
      <c r="C20" s="284">
        <f>+modsalario2021!C17</f>
        <v>71109015314</v>
      </c>
      <c r="D20" s="257">
        <f>+modsalario2021!D17</f>
        <v>0</v>
      </c>
      <c r="E20" s="282" t="str">
        <f>+modsalario2021!E17</f>
        <v>PEDN900323</v>
      </c>
      <c r="F20" s="282" t="str">
        <f>+modsalario2021!F17</f>
        <v>PEDN900323HCSRMS06</v>
      </c>
      <c r="G20" s="204">
        <f>+modsalario2021!I17</f>
        <v>152.42</v>
      </c>
      <c r="H20" s="204">
        <f>+modsalario2021!Q17</f>
        <v>170.01043767196674</v>
      </c>
      <c r="I20" s="147">
        <v>7</v>
      </c>
      <c r="J20" s="38">
        <f t="shared" si="6"/>
        <v>1066.9399999999998</v>
      </c>
      <c r="K20" s="38"/>
      <c r="L20" s="38"/>
      <c r="M20" s="197"/>
      <c r="N20" s="133"/>
      <c r="O20" s="133"/>
      <c r="P20" s="151"/>
      <c r="Q20" s="151"/>
      <c r="R20" s="202"/>
      <c r="S20" s="202"/>
      <c r="T20" s="38">
        <f t="shared" si="7"/>
        <v>1066.9399999999998</v>
      </c>
      <c r="U20" s="31">
        <f>+ISRAbril2021!O47</f>
        <v>68.48433599999998</v>
      </c>
      <c r="V20" s="31">
        <f>+ISRAbril2021!P47</f>
        <v>74.83</v>
      </c>
      <c r="W20" s="31">
        <f t="shared" si="8"/>
        <v>-6.3456640000000135</v>
      </c>
      <c r="X20" s="31">
        <v>0</v>
      </c>
      <c r="Y20" s="134">
        <f>+'COP TUXTLA'!V21</f>
        <v>61.57565539431545</v>
      </c>
      <c r="Z20" s="31"/>
      <c r="AA20" s="135"/>
      <c r="AB20" s="31">
        <f t="shared" si="0"/>
        <v>55.229991394315434</v>
      </c>
      <c r="AC20" s="31">
        <f>T20-AB20</f>
        <v>1011.7100086056844</v>
      </c>
      <c r="AD20" s="146">
        <v>300</v>
      </c>
      <c r="AE20" s="146">
        <v>0</v>
      </c>
      <c r="AF20" s="135">
        <f t="shared" si="9"/>
        <v>300</v>
      </c>
      <c r="AG20" s="204">
        <f>AC20-AF20</f>
        <v>711.7100086056844</v>
      </c>
      <c r="AH20" s="212" t="s">
        <v>206</v>
      </c>
      <c r="AI20" s="201"/>
      <c r="AJ20" s="243" t="str">
        <f t="shared" si="10"/>
        <v>M</v>
      </c>
      <c r="AK20" s="244">
        <v>2743.56</v>
      </c>
      <c r="AL20" s="202">
        <v>18.003520000000037</v>
      </c>
      <c r="AM20" s="202">
        <v>0</v>
      </c>
      <c r="AN20" s="202"/>
      <c r="AO20" s="202">
        <v>61.57565539431545</v>
      </c>
      <c r="AP20" s="244">
        <f t="shared" si="11"/>
        <v>79.57917539431548</v>
      </c>
      <c r="AQ20" s="244">
        <f t="shared" si="12"/>
        <v>2663.9808246056846</v>
      </c>
      <c r="AR20" s="202">
        <f t="shared" si="13"/>
        <v>2663.9808246056846</v>
      </c>
      <c r="AS20" s="217">
        <f t="shared" si="14"/>
        <v>-1652.2708160000002</v>
      </c>
      <c r="AT20" s="202">
        <f t="shared" si="3"/>
        <v>1011.7100086056844</v>
      </c>
      <c r="AV20" s="202">
        <v>0</v>
      </c>
      <c r="AW20" s="202">
        <f t="shared" si="4"/>
        <v>-1652.2708160000002</v>
      </c>
      <c r="AX20" s="217">
        <f t="shared" si="5"/>
        <v>1652.2708160000002</v>
      </c>
      <c r="AZ20" s="133">
        <f t="shared" si="15"/>
        <v>685.89</v>
      </c>
      <c r="BA20" s="38">
        <f t="shared" si="16"/>
        <v>270.9</v>
      </c>
      <c r="BB20" s="180"/>
    </row>
    <row r="21" spans="1:54" ht="15">
      <c r="A21" s="32" t="s">
        <v>181</v>
      </c>
      <c r="B21" s="225" t="str">
        <f>+modsalario2021!B18</f>
        <v>N</v>
      </c>
      <c r="C21" s="284">
        <f>+modsalario2021!C18</f>
        <v>10149124587</v>
      </c>
      <c r="D21" s="257">
        <f>+modsalario2021!D18</f>
        <v>0</v>
      </c>
      <c r="E21" s="282" t="str">
        <f>+modsalario2021!E18</f>
        <v>CUVC911128NT3</v>
      </c>
      <c r="F21" s="282" t="str">
        <f>+modsalario2021!F18</f>
        <v>CUVC911128MCSRRR01</v>
      </c>
      <c r="G21" s="31">
        <f>+modsalario2021!I18</f>
        <v>152.42</v>
      </c>
      <c r="H21" s="31">
        <f>+modsalario2021!Q18</f>
        <v>169.8017808219178</v>
      </c>
      <c r="I21" s="147">
        <v>7</v>
      </c>
      <c r="J21" s="38">
        <f t="shared" si="6"/>
        <v>1066.9399999999998</v>
      </c>
      <c r="K21" s="38"/>
      <c r="L21" s="38"/>
      <c r="M21" s="197"/>
      <c r="N21" s="196"/>
      <c r="O21" s="38"/>
      <c r="P21" s="196"/>
      <c r="Q21" s="196"/>
      <c r="R21" s="133"/>
      <c r="S21" s="38"/>
      <c r="T21" s="38">
        <f t="shared" si="7"/>
        <v>1066.9399999999998</v>
      </c>
      <c r="U21" s="31">
        <f>+ISRAbril2021!O48</f>
        <v>68.484336</v>
      </c>
      <c r="V21" s="31">
        <f>+ISRAbril2021!P48</f>
        <v>74.83</v>
      </c>
      <c r="W21" s="31">
        <f t="shared" si="8"/>
        <v>-6.345663999999999</v>
      </c>
      <c r="X21" s="31">
        <v>0</v>
      </c>
      <c r="Y21" s="134">
        <f>+'COP TUXTLA'!V22</f>
        <v>61.50008249143835</v>
      </c>
      <c r="Z21" s="195"/>
      <c r="AA21" s="195">
        <v>0</v>
      </c>
      <c r="AB21" s="31">
        <f t="shared" si="0"/>
        <v>55.15441849143835</v>
      </c>
      <c r="AC21" s="195">
        <f t="shared" si="1"/>
        <v>1011.7855815085614</v>
      </c>
      <c r="AD21" s="146">
        <v>0</v>
      </c>
      <c r="AE21" s="146">
        <v>0</v>
      </c>
      <c r="AF21" s="135">
        <f t="shared" si="9"/>
        <v>0</v>
      </c>
      <c r="AG21" s="218">
        <f t="shared" si="2"/>
        <v>1011.7855815085614</v>
      </c>
      <c r="AH21" s="213" t="s">
        <v>199</v>
      </c>
      <c r="AI21" s="201"/>
      <c r="AJ21" s="243" t="str">
        <f t="shared" si="10"/>
        <v>N</v>
      </c>
      <c r="AK21" s="244">
        <v>3383.7239999999997</v>
      </c>
      <c r="AL21" s="202">
        <v>107.9033632</v>
      </c>
      <c r="AM21" s="202">
        <v>0</v>
      </c>
      <c r="AN21" s="202">
        <v>0</v>
      </c>
      <c r="AO21" s="202">
        <v>61.50008249143835</v>
      </c>
      <c r="AP21" s="244">
        <f t="shared" si="11"/>
        <v>169.40344569143835</v>
      </c>
      <c r="AQ21" s="244">
        <f t="shared" si="12"/>
        <v>3214.3205543085614</v>
      </c>
      <c r="AR21" s="202">
        <f t="shared" si="13"/>
        <v>3214.3205543085614</v>
      </c>
      <c r="AS21" s="217">
        <f t="shared" si="14"/>
        <v>-2202.5349728</v>
      </c>
      <c r="AT21" s="202">
        <f t="shared" si="3"/>
        <v>1011.7855815085613</v>
      </c>
      <c r="AV21" s="202">
        <v>1591.44</v>
      </c>
      <c r="AW21" s="202">
        <f t="shared" si="4"/>
        <v>-2202.5349728</v>
      </c>
      <c r="AX21" s="250">
        <f t="shared" si="5"/>
        <v>3793.9749728</v>
      </c>
      <c r="AZ21" s="133">
        <f t="shared" si="15"/>
        <v>685.89</v>
      </c>
      <c r="BA21" s="38">
        <f t="shared" si="16"/>
        <v>270.9</v>
      </c>
      <c r="BB21" s="180"/>
    </row>
    <row r="22" spans="1:54" ht="15">
      <c r="A22" s="32" t="s">
        <v>181</v>
      </c>
      <c r="B22" s="225" t="str">
        <f>+modsalario2021!B19</f>
        <v>Ñ</v>
      </c>
      <c r="C22" s="284">
        <f>+modsalario2021!C19</f>
        <v>0</v>
      </c>
      <c r="D22" s="257">
        <f>+modsalario2021!D19</f>
        <v>0</v>
      </c>
      <c r="E22" s="282">
        <f>+modsalario2021!E19</f>
        <v>0</v>
      </c>
      <c r="F22" s="282">
        <f>+modsalario2021!F19</f>
        <v>0</v>
      </c>
      <c r="G22" s="204">
        <f>+modsalario2021!I19</f>
        <v>152.42</v>
      </c>
      <c r="H22" s="204">
        <f>+modsalario2021!Q19</f>
        <v>169.8017808219178</v>
      </c>
      <c r="I22" s="147">
        <v>7</v>
      </c>
      <c r="J22" s="38">
        <f t="shared" si="6"/>
        <v>1066.9399999999998</v>
      </c>
      <c r="K22" s="38"/>
      <c r="L22" s="38"/>
      <c r="M22" s="197"/>
      <c r="N22" s="38"/>
      <c r="O22" s="38"/>
      <c r="P22" s="38"/>
      <c r="Q22" s="38"/>
      <c r="R22" s="133"/>
      <c r="S22" s="38"/>
      <c r="T22" s="38">
        <f t="shared" si="7"/>
        <v>1066.9399999999998</v>
      </c>
      <c r="U22" s="31">
        <f>+ISRAbril2021!O49</f>
        <v>68.48433599999998</v>
      </c>
      <c r="V22" s="31">
        <f>+ISRAbril2021!P49</f>
        <v>74.83</v>
      </c>
      <c r="W22" s="31">
        <f t="shared" si="8"/>
        <v>-6.3456640000000135</v>
      </c>
      <c r="X22" s="31">
        <v>0</v>
      </c>
      <c r="Y22" s="134">
        <f>+'COP TUXTLA'!V23</f>
        <v>61.50008249143835</v>
      </c>
      <c r="Z22" s="195"/>
      <c r="AA22" s="195"/>
      <c r="AB22" s="31">
        <f t="shared" si="0"/>
        <v>55.154418491438335</v>
      </c>
      <c r="AC22" s="195">
        <f t="shared" si="1"/>
        <v>1011.7855815085614</v>
      </c>
      <c r="AD22" s="146">
        <v>300</v>
      </c>
      <c r="AE22" s="146">
        <v>0</v>
      </c>
      <c r="AF22" s="135">
        <f t="shared" si="9"/>
        <v>300</v>
      </c>
      <c r="AG22" s="218">
        <f t="shared" si="2"/>
        <v>711.7855815085614</v>
      </c>
      <c r="AH22" s="213" t="s">
        <v>199</v>
      </c>
      <c r="AI22" s="201"/>
      <c r="AJ22" s="243" t="str">
        <f t="shared" si="10"/>
        <v>Ñ</v>
      </c>
      <c r="AK22" s="244">
        <v>2789.2859999999996</v>
      </c>
      <c r="AL22" s="202">
        <v>22.978508799999986</v>
      </c>
      <c r="AM22" s="202">
        <v>0</v>
      </c>
      <c r="AN22" s="202"/>
      <c r="AO22" s="202">
        <v>61.50008249143835</v>
      </c>
      <c r="AP22" s="244">
        <f t="shared" si="11"/>
        <v>84.47859129143833</v>
      </c>
      <c r="AQ22" s="244">
        <f t="shared" si="12"/>
        <v>2704.807408708561</v>
      </c>
      <c r="AR22" s="202">
        <f t="shared" si="13"/>
        <v>2704.807408708561</v>
      </c>
      <c r="AS22" s="217">
        <f t="shared" si="14"/>
        <v>-1693.0218271999997</v>
      </c>
      <c r="AT22" s="202">
        <f t="shared" si="3"/>
        <v>1011.7855815085613</v>
      </c>
      <c r="AV22" s="202">
        <v>2406.04</v>
      </c>
      <c r="AW22" s="202">
        <f t="shared" si="4"/>
        <v>-1693.0218271999997</v>
      </c>
      <c r="AX22" s="250">
        <f t="shared" si="5"/>
        <v>4099.061827199999</v>
      </c>
      <c r="AZ22" s="133">
        <f t="shared" si="15"/>
        <v>685.89</v>
      </c>
      <c r="BA22" s="38">
        <f t="shared" si="16"/>
        <v>270.9</v>
      </c>
      <c r="BB22" s="180"/>
    </row>
    <row r="23" spans="1:54" ht="15">
      <c r="A23" s="32" t="s">
        <v>181</v>
      </c>
      <c r="B23" s="225" t="str">
        <f>+modsalario2021!B20</f>
        <v>O</v>
      </c>
      <c r="C23" s="284" t="str">
        <f>+modsalario2021!C20</f>
        <v>04199721145</v>
      </c>
      <c r="D23" s="257">
        <f>+modsalario2021!D20</f>
        <v>0</v>
      </c>
      <c r="E23" s="282" t="str">
        <f>+modsalario2021!E20</f>
        <v>VACD971205EPA</v>
      </c>
      <c r="F23" s="282" t="str">
        <f>+modsalario2021!F20</f>
        <v>VACD971205MCSZHN26</v>
      </c>
      <c r="G23" s="204">
        <f>+modsalario2021!I20</f>
        <v>176.07</v>
      </c>
      <c r="H23" s="204">
        <f>+modsalario2021!Q20</f>
        <v>194.7476712328767</v>
      </c>
      <c r="I23" s="147">
        <v>7</v>
      </c>
      <c r="J23" s="38">
        <f t="shared" si="6"/>
        <v>1232.49</v>
      </c>
      <c r="K23" s="38"/>
      <c r="L23" s="38"/>
      <c r="M23" s="197"/>
      <c r="N23" s="38"/>
      <c r="O23" s="38"/>
      <c r="P23" s="38"/>
      <c r="Q23" s="38"/>
      <c r="R23" s="133"/>
      <c r="S23" s="38"/>
      <c r="T23" s="38">
        <f t="shared" si="7"/>
        <v>1232.49</v>
      </c>
      <c r="U23" s="31">
        <f>+ISRAbril2021!O50</f>
        <v>84.4357792</v>
      </c>
      <c r="V23" s="31">
        <f>+ISRAbril2021!P50</f>
        <v>67.83</v>
      </c>
      <c r="W23" s="31">
        <f t="shared" si="8"/>
        <v>16.6057792</v>
      </c>
      <c r="X23" s="31">
        <v>0</v>
      </c>
      <c r="Y23" s="134">
        <f>+'COP TUXTLA'!V24</f>
        <v>70.53517217465753</v>
      </c>
      <c r="Z23" s="31"/>
      <c r="AA23" s="146"/>
      <c r="AB23" s="31">
        <f t="shared" si="0"/>
        <v>87.14095137465753</v>
      </c>
      <c r="AC23" s="31">
        <f>T23-AB23</f>
        <v>1145.3490486253424</v>
      </c>
      <c r="AD23" s="146">
        <v>250</v>
      </c>
      <c r="AE23" s="146">
        <v>288.24</v>
      </c>
      <c r="AF23" s="135">
        <f t="shared" si="9"/>
        <v>538.24</v>
      </c>
      <c r="AG23" s="204">
        <f t="shared" si="2"/>
        <v>607.1090486253424</v>
      </c>
      <c r="AH23" s="212" t="s">
        <v>206</v>
      </c>
      <c r="AI23" s="201"/>
      <c r="AJ23" s="243" t="str">
        <f t="shared" si="10"/>
        <v>O</v>
      </c>
      <c r="AK23" s="245">
        <v>3274.902</v>
      </c>
      <c r="AL23" s="202">
        <v>96.06352960000004</v>
      </c>
      <c r="AM23" s="202">
        <v>0</v>
      </c>
      <c r="AN23" s="202"/>
      <c r="AO23" s="202">
        <v>70.53517217465753</v>
      </c>
      <c r="AP23" s="244">
        <f t="shared" si="11"/>
        <v>166.59870177465757</v>
      </c>
      <c r="AQ23" s="244">
        <f t="shared" si="12"/>
        <v>3108.3032982253426</v>
      </c>
      <c r="AR23" s="202">
        <f t="shared" si="13"/>
        <v>3108.3032982253426</v>
      </c>
      <c r="AS23" s="217">
        <f t="shared" si="14"/>
        <v>-1962.9542496000001</v>
      </c>
      <c r="AT23" s="202">
        <f t="shared" si="3"/>
        <v>1145.3490486253424</v>
      </c>
      <c r="AV23" s="202">
        <v>1043.4</v>
      </c>
      <c r="AW23" s="202">
        <f t="shared" si="4"/>
        <v>-1962.9542496000001</v>
      </c>
      <c r="AX23" s="250">
        <f t="shared" si="5"/>
        <v>3006.3542496</v>
      </c>
      <c r="AZ23" s="133">
        <f t="shared" si="15"/>
        <v>792.3149999999999</v>
      </c>
      <c r="BA23" s="38">
        <f t="shared" si="16"/>
        <v>270.9</v>
      </c>
      <c r="BB23" s="180"/>
    </row>
    <row r="24" spans="1:54" s="214" customFormat="1" ht="15">
      <c r="A24" s="32" t="s">
        <v>181</v>
      </c>
      <c r="B24" s="225" t="str">
        <f>+modsalario2021!B21</f>
        <v>P </v>
      </c>
      <c r="C24" s="277" t="str">
        <f>+modsalario2021!C21</f>
        <v>05210394523</v>
      </c>
      <c r="D24" s="277">
        <f>+modsalario2021!D21</f>
        <v>0</v>
      </c>
      <c r="E24" s="277" t="str">
        <f>+modsalario2021!E21</f>
        <v>CUNJ030108</v>
      </c>
      <c r="F24" s="277" t="str">
        <f>+modsalario2021!F21</f>
        <v>CUNJ030108HCSRTVA2</v>
      </c>
      <c r="G24" s="204">
        <f>+modsalario2021!I21</f>
        <v>142.5</v>
      </c>
      <c r="H24" s="204">
        <f>+modsalario2021!Q21</f>
        <v>159.14301369863014</v>
      </c>
      <c r="I24" s="147">
        <v>7</v>
      </c>
      <c r="J24" s="221">
        <f t="shared" si="6"/>
        <v>997.5</v>
      </c>
      <c r="K24" s="38"/>
      <c r="L24" s="38"/>
      <c r="M24" s="197"/>
      <c r="N24" s="221"/>
      <c r="O24" s="221"/>
      <c r="P24" s="221"/>
      <c r="Q24" s="221"/>
      <c r="R24" s="202"/>
      <c r="S24" s="202"/>
      <c r="T24" s="38">
        <f t="shared" si="7"/>
        <v>997.5</v>
      </c>
      <c r="U24" s="204">
        <f>+ISRAbril2021!O51</f>
        <v>63.59576</v>
      </c>
      <c r="V24" s="204">
        <f>+ISRAbril2021!P51</f>
        <v>74.83</v>
      </c>
      <c r="W24" s="31">
        <v>0</v>
      </c>
      <c r="X24" s="31">
        <f>U24-V24</f>
        <v>-11.23424</v>
      </c>
      <c r="Y24" s="134">
        <f>+'COP TUXTLA'!V25</f>
        <v>57.63961027397261</v>
      </c>
      <c r="Z24" s="204"/>
      <c r="AA24" s="210"/>
      <c r="AB24" s="204">
        <f t="shared" si="0"/>
        <v>46.40537027397261</v>
      </c>
      <c r="AC24" s="204">
        <f>T24-AB24</f>
        <v>951.0946297260274</v>
      </c>
      <c r="AD24" s="146">
        <v>300</v>
      </c>
      <c r="AE24" s="146">
        <v>91.88</v>
      </c>
      <c r="AF24" s="223">
        <f t="shared" si="9"/>
        <v>391.88</v>
      </c>
      <c r="AG24" s="218">
        <f t="shared" si="2"/>
        <v>559.2146297260274</v>
      </c>
      <c r="AH24" s="213" t="s">
        <v>245</v>
      </c>
      <c r="AI24" s="231"/>
      <c r="AJ24" s="243" t="str">
        <f t="shared" si="10"/>
        <v>P </v>
      </c>
      <c r="AK24" s="244">
        <v>2340.5625</v>
      </c>
      <c r="AL24" s="217">
        <v>0</v>
      </c>
      <c r="AM24" s="217">
        <v>-24.756639999999976</v>
      </c>
      <c r="AN24" s="217">
        <v>0</v>
      </c>
      <c r="AO24" s="217">
        <v>57.63961027397261</v>
      </c>
      <c r="AP24" s="244">
        <f t="shared" si="11"/>
        <v>32.88297027397263</v>
      </c>
      <c r="AQ24" s="244">
        <f t="shared" si="12"/>
        <v>2307.6795297260273</v>
      </c>
      <c r="AR24" s="202">
        <f t="shared" si="13"/>
        <v>2307.6795297260273</v>
      </c>
      <c r="AS24" s="217">
        <f t="shared" si="14"/>
        <v>-1356.5848999999998</v>
      </c>
      <c r="AT24" s="202">
        <f t="shared" si="3"/>
        <v>951.0946297260275</v>
      </c>
      <c r="AV24" s="202">
        <v>0</v>
      </c>
      <c r="AW24" s="217">
        <f t="shared" si="4"/>
        <v>-1356.5848999999998</v>
      </c>
      <c r="AX24" s="217">
        <f t="shared" si="5"/>
        <v>1356.5848999999998</v>
      </c>
      <c r="AZ24" s="133">
        <f t="shared" si="15"/>
        <v>641.25</v>
      </c>
      <c r="BA24" s="38">
        <f t="shared" si="16"/>
        <v>270.9</v>
      </c>
      <c r="BB24" s="235"/>
    </row>
    <row r="25" spans="1:54" ht="15">
      <c r="A25" s="32" t="s">
        <v>181</v>
      </c>
      <c r="B25" s="225" t="str">
        <f>+modsalario2021!B22</f>
        <v>Q</v>
      </c>
      <c r="C25" s="284" t="str">
        <f>+modsalario2021!C22</f>
        <v>0218809848</v>
      </c>
      <c r="D25" s="257">
        <f>+modsalario2021!D22</f>
        <v>0</v>
      </c>
      <c r="E25" s="282" t="str">
        <f>+modsalario2021!E22</f>
        <v>LOVE881118LG2</v>
      </c>
      <c r="F25" s="282" t="str">
        <f>+modsalario2021!F22</f>
        <v>LOVE881118HCSPZR02</v>
      </c>
      <c r="G25" s="204">
        <f>+modsalario2021!I22</f>
        <v>152.42</v>
      </c>
      <c r="H25" s="204">
        <f>+modsalario2021!Q22</f>
        <v>169.8017808219178</v>
      </c>
      <c r="I25" s="147">
        <v>7</v>
      </c>
      <c r="J25" s="38">
        <f>G25*I25</f>
        <v>1066.9399999999998</v>
      </c>
      <c r="K25" s="38"/>
      <c r="L25" s="38"/>
      <c r="M25" s="197"/>
      <c r="N25" s="38"/>
      <c r="O25" s="38"/>
      <c r="P25" s="38"/>
      <c r="Q25" s="38"/>
      <c r="R25" s="133"/>
      <c r="S25" s="38"/>
      <c r="T25" s="38">
        <f t="shared" si="7"/>
        <v>1066.9399999999998</v>
      </c>
      <c r="U25" s="31">
        <f>+ISRAbril2021!O52</f>
        <v>68.48433599999998</v>
      </c>
      <c r="V25" s="31">
        <f>+ISRAbril2021!P52</f>
        <v>74.83</v>
      </c>
      <c r="W25" s="31">
        <f t="shared" si="8"/>
        <v>-6.3456640000000135</v>
      </c>
      <c r="X25" s="31">
        <v>0</v>
      </c>
      <c r="Y25" s="134">
        <f>+'COP TUXTLA'!V26</f>
        <v>61.50008249143835</v>
      </c>
      <c r="Z25" s="31"/>
      <c r="AA25" s="146"/>
      <c r="AB25" s="204">
        <f t="shared" si="0"/>
        <v>55.154418491438335</v>
      </c>
      <c r="AC25" s="31">
        <f>T25-AB25</f>
        <v>1011.7855815085614</v>
      </c>
      <c r="AD25" s="146">
        <v>0</v>
      </c>
      <c r="AE25" s="146">
        <v>0</v>
      </c>
      <c r="AF25" s="135">
        <f t="shared" si="9"/>
        <v>0</v>
      </c>
      <c r="AG25" s="204">
        <f t="shared" si="2"/>
        <v>1011.7855815085614</v>
      </c>
      <c r="AH25" s="59" t="s">
        <v>199</v>
      </c>
      <c r="AI25" s="201"/>
      <c r="AJ25" s="243" t="str">
        <f t="shared" si="10"/>
        <v>Q</v>
      </c>
      <c r="AK25" s="245">
        <v>2560.6559999999995</v>
      </c>
      <c r="AL25" s="202">
        <v>0</v>
      </c>
      <c r="AM25" s="202">
        <v>-10.670656000000008</v>
      </c>
      <c r="AN25" s="202"/>
      <c r="AO25" s="202">
        <v>61.50008249143835</v>
      </c>
      <c r="AP25" s="244">
        <f t="shared" si="11"/>
        <v>50.82942649143834</v>
      </c>
      <c r="AQ25" s="244">
        <f t="shared" si="12"/>
        <v>2509.826573508561</v>
      </c>
      <c r="AR25" s="202">
        <f t="shared" si="13"/>
        <v>2509.826573508561</v>
      </c>
      <c r="AS25" s="217">
        <f t="shared" si="14"/>
        <v>-1498.0409919999997</v>
      </c>
      <c r="AT25" s="202">
        <f t="shared" si="3"/>
        <v>1011.7855815085613</v>
      </c>
      <c r="AV25" s="202">
        <v>1043.4</v>
      </c>
      <c r="AW25" s="217">
        <f t="shared" si="4"/>
        <v>-1498.0409919999997</v>
      </c>
      <c r="AX25" s="250">
        <f t="shared" si="5"/>
        <v>2541.440992</v>
      </c>
      <c r="AZ25" s="133">
        <f>((G25/8)*2)*17.2</f>
        <v>655.406</v>
      </c>
      <c r="BA25" s="38">
        <v>0</v>
      </c>
      <c r="BB25" s="180"/>
    </row>
    <row r="26" spans="1:54" s="214" customFormat="1" ht="15">
      <c r="A26" s="32" t="s">
        <v>181</v>
      </c>
      <c r="B26" s="225" t="str">
        <f>+modsalario2021!B25</f>
        <v>T</v>
      </c>
      <c r="C26" s="267" t="str">
        <f>+modsalario2021!C25</f>
        <v>71139446869</v>
      </c>
      <c r="D26" s="277">
        <f>+modsalario2021!D25</f>
        <v>0</v>
      </c>
      <c r="E26" s="277" t="str">
        <f>+modsalario2021!E25</f>
        <v>HEFJ9411283W3</v>
      </c>
      <c r="F26" s="277" t="str">
        <f>+modsalario2021!F25</f>
        <v>HEFJ941128HCSRRR08</v>
      </c>
      <c r="G26" s="204">
        <f>+modsalario2021!I25</f>
        <v>142.5</v>
      </c>
      <c r="H26" s="204">
        <f>modsalario2021!Q25</f>
        <v>159.14301369863014</v>
      </c>
      <c r="I26" s="147">
        <v>7</v>
      </c>
      <c r="J26" s="221">
        <f t="shared" si="6"/>
        <v>997.5</v>
      </c>
      <c r="K26" s="38"/>
      <c r="L26" s="38"/>
      <c r="M26" s="197"/>
      <c r="N26" s="221"/>
      <c r="O26" s="221"/>
      <c r="P26" s="221"/>
      <c r="Q26" s="221"/>
      <c r="R26" s="133"/>
      <c r="S26" s="38"/>
      <c r="T26" s="38">
        <f t="shared" si="7"/>
        <v>997.5</v>
      </c>
      <c r="U26" s="204">
        <f>+ISRAbril2021!O53</f>
        <v>63.59576</v>
      </c>
      <c r="V26" s="204">
        <f>+ISRAbril2021!P53</f>
        <v>74.83</v>
      </c>
      <c r="W26" s="31">
        <f t="shared" si="8"/>
        <v>-11.23424</v>
      </c>
      <c r="X26" s="31">
        <v>0</v>
      </c>
      <c r="Y26" s="222">
        <f>+'COP TUXTLA'!V27</f>
        <v>57.63961027397261</v>
      </c>
      <c r="Z26" s="204"/>
      <c r="AA26" s="210"/>
      <c r="AB26" s="204">
        <f t="shared" si="0"/>
        <v>46.40537027397261</v>
      </c>
      <c r="AC26" s="204">
        <f>T26-AB26</f>
        <v>951.0946297260274</v>
      </c>
      <c r="AD26" s="146">
        <v>0</v>
      </c>
      <c r="AE26" s="146">
        <v>0</v>
      </c>
      <c r="AF26" s="135">
        <f t="shared" si="9"/>
        <v>0</v>
      </c>
      <c r="AG26" s="204">
        <f t="shared" si="2"/>
        <v>951.0946297260274</v>
      </c>
      <c r="AH26" s="59" t="s">
        <v>199</v>
      </c>
      <c r="AI26" s="231"/>
      <c r="AJ26" s="243" t="str">
        <f t="shared" si="10"/>
        <v>T</v>
      </c>
      <c r="AK26" s="244">
        <v>2565</v>
      </c>
      <c r="AL26" s="217">
        <v>0</v>
      </c>
      <c r="AM26" s="217">
        <v>-10.39264</v>
      </c>
      <c r="AN26" s="217"/>
      <c r="AO26" s="217">
        <v>57.63961027397261</v>
      </c>
      <c r="AP26" s="244">
        <f t="shared" si="11"/>
        <v>47.24697027397261</v>
      </c>
      <c r="AQ26" s="244">
        <f t="shared" si="12"/>
        <v>2517.7530297260273</v>
      </c>
      <c r="AR26" s="202">
        <f t="shared" si="13"/>
        <v>2517.7530297260273</v>
      </c>
      <c r="AS26" s="217">
        <f t="shared" si="14"/>
        <v>-1566.6583999999998</v>
      </c>
      <c r="AT26" s="202">
        <f t="shared" si="3"/>
        <v>951.0946297260275</v>
      </c>
      <c r="AV26" s="202">
        <v>712.31</v>
      </c>
      <c r="AW26" s="217">
        <f t="shared" si="4"/>
        <v>-1566.6583999999998</v>
      </c>
      <c r="AX26" s="250">
        <f t="shared" si="5"/>
        <v>2278.9683999999997</v>
      </c>
      <c r="AZ26" s="133">
        <f>(((G26/8)*2)*9)*2</f>
        <v>641.25</v>
      </c>
      <c r="BA26" s="38">
        <f>9.03*30</f>
        <v>270.9</v>
      </c>
      <c r="BB26" s="235"/>
    </row>
    <row r="27" spans="1:54" ht="15">
      <c r="A27" s="32" t="s">
        <v>181</v>
      </c>
      <c r="B27" s="225" t="str">
        <f>+modsalario2021!B26</f>
        <v>U</v>
      </c>
      <c r="C27" s="267" t="str">
        <f>+modsalario2021!C26</f>
        <v>68159698767</v>
      </c>
      <c r="D27" s="277">
        <f>+modsalario2021!D26</f>
        <v>0</v>
      </c>
      <c r="E27" s="277" t="str">
        <f>+modsalario2021!E26</f>
        <v>RUAB960920383</v>
      </c>
      <c r="F27" s="277" t="str">
        <f>+modsalario2021!F26</f>
        <v>RUAB960920MVZDRL08</v>
      </c>
      <c r="G27" s="204">
        <f>+modsalario2021!I26</f>
        <v>176.07</v>
      </c>
      <c r="H27" s="204">
        <f>+modsalario2021!Q26</f>
        <v>194.50647945205478</v>
      </c>
      <c r="I27" s="147">
        <v>7</v>
      </c>
      <c r="J27" s="38">
        <f t="shared" si="6"/>
        <v>1232.49</v>
      </c>
      <c r="K27" s="38"/>
      <c r="L27" s="38"/>
      <c r="M27" s="197"/>
      <c r="N27" s="38"/>
      <c r="O27" s="38"/>
      <c r="P27" s="148"/>
      <c r="Q27" s="38"/>
      <c r="R27" s="202"/>
      <c r="S27" s="202"/>
      <c r="T27" s="38">
        <f t="shared" si="7"/>
        <v>1232.49</v>
      </c>
      <c r="U27" s="31">
        <f>+ISRAbril2021!O54</f>
        <v>84.4357792</v>
      </c>
      <c r="V27" s="31">
        <f>+ISRAbril2021!P54</f>
        <v>67.83</v>
      </c>
      <c r="W27" s="31">
        <f t="shared" si="8"/>
        <v>16.6057792</v>
      </c>
      <c r="X27" s="31">
        <v>0</v>
      </c>
      <c r="Y27" s="222">
        <v>50.58</v>
      </c>
      <c r="Z27" s="31">
        <v>0</v>
      </c>
      <c r="AA27" s="146"/>
      <c r="AB27" s="204">
        <f t="shared" si="0"/>
        <v>67.1857792</v>
      </c>
      <c r="AC27" s="31">
        <f>T27-AB27</f>
        <v>1165.3042208</v>
      </c>
      <c r="AD27" s="146">
        <v>200</v>
      </c>
      <c r="AE27" s="146">
        <v>193.42</v>
      </c>
      <c r="AF27" s="135">
        <f t="shared" si="9"/>
        <v>393.41999999999996</v>
      </c>
      <c r="AG27" s="218">
        <f t="shared" si="2"/>
        <v>771.8842208</v>
      </c>
      <c r="AH27" s="59" t="s">
        <v>199</v>
      </c>
      <c r="AI27" s="230"/>
      <c r="AJ27" s="243" t="str">
        <f t="shared" si="10"/>
        <v>U</v>
      </c>
      <c r="AK27" s="244">
        <v>3169.2599999999998</v>
      </c>
      <c r="AL27" s="202">
        <v>84.56968</v>
      </c>
      <c r="AM27" s="202">
        <v>0</v>
      </c>
      <c r="AN27" s="202"/>
      <c r="AO27" s="202">
        <v>50.58</v>
      </c>
      <c r="AP27" s="244">
        <f t="shared" si="11"/>
        <v>135.14968</v>
      </c>
      <c r="AQ27" s="244">
        <f t="shared" si="12"/>
        <v>3034.11032</v>
      </c>
      <c r="AR27" s="202">
        <f t="shared" si="13"/>
        <v>3034.11032</v>
      </c>
      <c r="AS27" s="217">
        <f t="shared" si="14"/>
        <v>-1868.8060991999998</v>
      </c>
      <c r="AT27" s="202">
        <f t="shared" si="3"/>
        <v>1165.3042208</v>
      </c>
      <c r="AV27" s="202">
        <v>0</v>
      </c>
      <c r="AW27" s="217">
        <f t="shared" si="4"/>
        <v>-1868.8060991999998</v>
      </c>
      <c r="AX27" s="217">
        <f t="shared" si="5"/>
        <v>1868.8060991999998</v>
      </c>
      <c r="AZ27" s="133">
        <v>0</v>
      </c>
      <c r="BA27" s="38">
        <v>0</v>
      </c>
      <c r="BB27" s="180"/>
    </row>
    <row r="28" spans="1:54" ht="15">
      <c r="A28" s="32" t="s">
        <v>181</v>
      </c>
      <c r="B28" s="225" t="str">
        <f>+modsalario2021!B24</f>
        <v>S</v>
      </c>
      <c r="C28" s="257">
        <f>+modsalario2021!C24</f>
        <v>2199448990</v>
      </c>
      <c r="D28" s="257">
        <f>+modsalario2021!D24</f>
        <v>0</v>
      </c>
      <c r="E28" s="282" t="str">
        <f>+modsalario2021!E24</f>
        <v>PEAC9410032Z0</v>
      </c>
      <c r="F28" s="282" t="str">
        <f>+modsalario2021!F24</f>
        <v>PEAC941003MCSRVN06</v>
      </c>
      <c r="G28" s="204">
        <f>+modsalario2021!I24</f>
        <v>152.42</v>
      </c>
      <c r="H28" s="204">
        <f>+modsalario2021!Q24</f>
        <v>169.59298630136985</v>
      </c>
      <c r="I28" s="147">
        <v>7</v>
      </c>
      <c r="J28" s="38">
        <f t="shared" si="6"/>
        <v>1066.9399999999998</v>
      </c>
      <c r="K28" s="38"/>
      <c r="L28" s="38"/>
      <c r="M28" s="197"/>
      <c r="N28" s="38"/>
      <c r="O28" s="38"/>
      <c r="P28" s="38"/>
      <c r="Q28" s="38"/>
      <c r="R28" s="202"/>
      <c r="S28" s="202"/>
      <c r="T28" s="38">
        <f t="shared" si="7"/>
        <v>1066.9399999999998</v>
      </c>
      <c r="U28" s="31">
        <f>+ISRAbril2021!O55</f>
        <v>68.48433599999998</v>
      </c>
      <c r="V28" s="31">
        <f>+ISRAbril2021!P55</f>
        <v>74.83</v>
      </c>
      <c r="W28" s="31">
        <f t="shared" si="8"/>
        <v>-6.3456640000000135</v>
      </c>
      <c r="X28" s="31">
        <v>0</v>
      </c>
      <c r="Y28" s="134">
        <f>+'COP TUXTLA'!V32</f>
        <v>61.42445972602739</v>
      </c>
      <c r="Z28" s="31"/>
      <c r="AA28" s="146"/>
      <c r="AB28" s="204">
        <f t="shared" si="0"/>
        <v>55.07879572602738</v>
      </c>
      <c r="AC28" s="31">
        <f aca="true" t="shared" si="17" ref="AC28:AC34">T28-AB28</f>
        <v>1011.8612042739725</v>
      </c>
      <c r="AD28" s="146"/>
      <c r="AE28" s="146">
        <v>0</v>
      </c>
      <c r="AF28" s="135">
        <f t="shared" si="9"/>
        <v>0</v>
      </c>
      <c r="AG28" s="218">
        <f t="shared" si="2"/>
        <v>1011.8612042739725</v>
      </c>
      <c r="AH28" s="212" t="s">
        <v>199</v>
      </c>
      <c r="AI28" s="201"/>
      <c r="AJ28" s="243" t="str">
        <f t="shared" si="10"/>
        <v>S</v>
      </c>
      <c r="AK28" s="244">
        <v>2743.56</v>
      </c>
      <c r="AL28" s="202">
        <v>18.003520000000037</v>
      </c>
      <c r="AM28" s="202">
        <v>0</v>
      </c>
      <c r="AN28" s="202"/>
      <c r="AO28" s="202">
        <v>61.42445972602739</v>
      </c>
      <c r="AP28" s="244">
        <f t="shared" si="11"/>
        <v>79.42797972602743</v>
      </c>
      <c r="AQ28" s="244">
        <f t="shared" si="12"/>
        <v>2664.1320202739726</v>
      </c>
      <c r="AR28" s="202">
        <f t="shared" si="13"/>
        <v>2664.1320202739726</v>
      </c>
      <c r="AS28" s="217">
        <f t="shared" si="14"/>
        <v>-1652.2708160000002</v>
      </c>
      <c r="AT28" s="202">
        <f t="shared" si="3"/>
        <v>1011.8612042739724</v>
      </c>
      <c r="AV28" s="202">
        <v>114</v>
      </c>
      <c r="AW28" s="217">
        <f t="shared" si="4"/>
        <v>-1652.2708160000002</v>
      </c>
      <c r="AX28" s="250">
        <f t="shared" si="5"/>
        <v>1766.2708160000002</v>
      </c>
      <c r="AZ28" s="133"/>
      <c r="BA28" s="38"/>
      <c r="BB28" s="180"/>
    </row>
    <row r="29" spans="1:54" ht="15">
      <c r="A29" s="32" t="s">
        <v>181</v>
      </c>
      <c r="B29" s="225" t="str">
        <f>+modsalario2021!B28</f>
        <v>X</v>
      </c>
      <c r="C29" s="257"/>
      <c r="D29" s="257"/>
      <c r="E29" s="282"/>
      <c r="F29" s="282"/>
      <c r="G29" s="204">
        <f>+modsalario2021!I28</f>
        <v>142.5</v>
      </c>
      <c r="H29" s="204">
        <f>+modsalario2021!Q28</f>
        <v>159.14301369863014</v>
      </c>
      <c r="I29" s="147">
        <v>7</v>
      </c>
      <c r="J29" s="38">
        <f t="shared" si="6"/>
        <v>997.5</v>
      </c>
      <c r="K29" s="38"/>
      <c r="L29" s="38"/>
      <c r="M29" s="197"/>
      <c r="N29" s="38"/>
      <c r="O29" s="38"/>
      <c r="P29" s="38"/>
      <c r="Q29" s="38"/>
      <c r="R29" s="202"/>
      <c r="S29" s="202"/>
      <c r="T29" s="38">
        <f t="shared" si="7"/>
        <v>997.5</v>
      </c>
      <c r="U29" s="31">
        <f>+ISRAbril2021!O56</f>
        <v>63.59576</v>
      </c>
      <c r="V29" s="31">
        <f>+ISRAbril2021!P56</f>
        <v>74.83</v>
      </c>
      <c r="W29" s="31">
        <v>0</v>
      </c>
      <c r="X29" s="31">
        <f aca="true" t="shared" si="18" ref="X29:X34">U29-V29</f>
        <v>-11.23424</v>
      </c>
      <c r="Y29" s="134">
        <f>+'COP TUXTLA'!V33</f>
        <v>57.63961027397261</v>
      </c>
      <c r="Z29" s="31"/>
      <c r="AA29" s="146"/>
      <c r="AB29" s="204">
        <f t="shared" si="0"/>
        <v>46.40537027397261</v>
      </c>
      <c r="AC29" s="31">
        <f t="shared" si="17"/>
        <v>951.0946297260274</v>
      </c>
      <c r="AD29" s="146"/>
      <c r="AE29" s="146"/>
      <c r="AF29" s="135">
        <f t="shared" si="9"/>
        <v>0</v>
      </c>
      <c r="AG29" s="218">
        <f t="shared" si="2"/>
        <v>951.0946297260274</v>
      </c>
      <c r="AH29" s="212" t="s">
        <v>199</v>
      </c>
      <c r="AI29" s="201"/>
      <c r="AJ29" s="243" t="str">
        <f t="shared" si="10"/>
        <v>X</v>
      </c>
      <c r="AK29" s="244">
        <v>2394</v>
      </c>
      <c r="AL29" s="202">
        <v>0</v>
      </c>
      <c r="AM29" s="202">
        <v>-21.33663999999999</v>
      </c>
      <c r="AN29" s="202"/>
      <c r="AO29" s="202">
        <v>57.63961027397261</v>
      </c>
      <c r="AP29" s="244">
        <f t="shared" si="11"/>
        <v>36.30297027397262</v>
      </c>
      <c r="AQ29" s="244">
        <f t="shared" si="12"/>
        <v>2357.6970297260273</v>
      </c>
      <c r="AR29" s="202">
        <f t="shared" si="13"/>
        <v>2357.6970297260273</v>
      </c>
      <c r="AS29" s="217">
        <f t="shared" si="14"/>
        <v>-1406.6023999999998</v>
      </c>
      <c r="AT29" s="202">
        <f t="shared" si="3"/>
        <v>951.0946297260275</v>
      </c>
      <c r="AV29" s="202">
        <v>0</v>
      </c>
      <c r="AW29" s="217">
        <f t="shared" si="4"/>
        <v>-1406.6023999999998</v>
      </c>
      <c r="AX29" s="217">
        <f t="shared" si="5"/>
        <v>1406.6023999999998</v>
      </c>
      <c r="AZ29" s="133"/>
      <c r="BA29" s="38"/>
      <c r="BB29" s="180"/>
    </row>
    <row r="30" spans="1:54" ht="15">
      <c r="A30" s="32" t="s">
        <v>181</v>
      </c>
      <c r="B30" s="225" t="str">
        <f>+modsalario2021!B29</f>
        <v>Y</v>
      </c>
      <c r="C30" s="257"/>
      <c r="D30" s="257"/>
      <c r="E30" s="282"/>
      <c r="F30" s="282"/>
      <c r="G30" s="204">
        <f>+modsalario2021!I29</f>
        <v>142.5</v>
      </c>
      <c r="H30" s="204">
        <f>+modsalario2021!Q29</f>
        <v>159.14301369863014</v>
      </c>
      <c r="I30" s="147">
        <v>7</v>
      </c>
      <c r="J30" s="38">
        <f t="shared" si="6"/>
        <v>997.5</v>
      </c>
      <c r="K30" s="38"/>
      <c r="L30" s="38"/>
      <c r="M30" s="197"/>
      <c r="N30" s="38"/>
      <c r="O30" s="38"/>
      <c r="P30" s="133"/>
      <c r="Q30" s="38"/>
      <c r="R30" s="133"/>
      <c r="S30" s="38"/>
      <c r="T30" s="38">
        <f t="shared" si="7"/>
        <v>997.5</v>
      </c>
      <c r="U30" s="31">
        <f>+ISRAbril2021!O57</f>
        <v>63.59576</v>
      </c>
      <c r="V30" s="31">
        <f>+ISRAbril2021!P57</f>
        <v>74.83</v>
      </c>
      <c r="W30" s="31">
        <v>0</v>
      </c>
      <c r="X30" s="31">
        <f t="shared" si="18"/>
        <v>-11.23424</v>
      </c>
      <c r="Y30" s="134">
        <f>+'COP TUXTLA'!V34</f>
        <v>57.63961027397261</v>
      </c>
      <c r="Z30" s="31"/>
      <c r="AA30" s="146"/>
      <c r="AB30" s="204">
        <f t="shared" si="0"/>
        <v>46.40537027397261</v>
      </c>
      <c r="AC30" s="31">
        <f t="shared" si="17"/>
        <v>951.0946297260274</v>
      </c>
      <c r="AD30" s="146"/>
      <c r="AE30" s="146">
        <v>257.81</v>
      </c>
      <c r="AF30" s="135">
        <f t="shared" si="9"/>
        <v>257.81</v>
      </c>
      <c r="AG30" s="218">
        <f t="shared" si="2"/>
        <v>693.2846297260273</v>
      </c>
      <c r="AH30" s="212" t="s">
        <v>199</v>
      </c>
      <c r="AI30" s="201"/>
      <c r="AJ30" s="243" t="str">
        <f t="shared" si="10"/>
        <v>Y</v>
      </c>
      <c r="AK30" s="244">
        <v>1852.5</v>
      </c>
      <c r="AL30" s="202">
        <v>0</v>
      </c>
      <c r="AM30" s="202">
        <v>-84.34263999999997</v>
      </c>
      <c r="AN30" s="202"/>
      <c r="AO30" s="202">
        <v>57.63961027397261</v>
      </c>
      <c r="AP30" s="244">
        <f t="shared" si="11"/>
        <v>-26.703029726027367</v>
      </c>
      <c r="AQ30" s="244">
        <f t="shared" si="12"/>
        <v>1879.2030297260274</v>
      </c>
      <c r="AR30" s="202">
        <f t="shared" si="13"/>
        <v>1879.2030297260274</v>
      </c>
      <c r="AS30" s="217">
        <f t="shared" si="14"/>
        <v>-928.1084</v>
      </c>
      <c r="AT30" s="202">
        <f t="shared" si="3"/>
        <v>951.0946297260274</v>
      </c>
      <c r="AV30" s="202">
        <v>535.92</v>
      </c>
      <c r="AW30" s="217">
        <f t="shared" si="4"/>
        <v>-928.1084</v>
      </c>
      <c r="AX30" s="250">
        <f t="shared" si="5"/>
        <v>1464.0284</v>
      </c>
      <c r="AZ30" s="133"/>
      <c r="BA30" s="38"/>
      <c r="BB30" s="180"/>
    </row>
    <row r="31" spans="1:54" ht="15">
      <c r="A31" s="32" t="s">
        <v>181</v>
      </c>
      <c r="B31" s="225" t="str">
        <f>+modsalario2021!B30</f>
        <v>Z</v>
      </c>
      <c r="C31" s="257"/>
      <c r="D31" s="257"/>
      <c r="E31" s="282"/>
      <c r="F31" s="282"/>
      <c r="G31" s="204">
        <f>+modsalario2021!I30</f>
        <v>142.5</v>
      </c>
      <c r="H31" s="204">
        <f>+modsalario2021!Q30</f>
        <v>159.14301369863014</v>
      </c>
      <c r="I31" s="147">
        <v>7</v>
      </c>
      <c r="J31" s="38">
        <f t="shared" si="6"/>
        <v>997.5</v>
      </c>
      <c r="K31" s="38"/>
      <c r="L31" s="38"/>
      <c r="M31" s="197"/>
      <c r="N31" s="38"/>
      <c r="O31" s="38"/>
      <c r="P31" s="38"/>
      <c r="Q31" s="38"/>
      <c r="R31" s="133"/>
      <c r="S31" s="38"/>
      <c r="T31" s="38">
        <f t="shared" si="7"/>
        <v>997.5</v>
      </c>
      <c r="U31" s="31">
        <f>+ISRAbril2021!O58</f>
        <v>63.59576</v>
      </c>
      <c r="V31" s="31">
        <f>+ISRAbril2021!P58</f>
        <v>74.83</v>
      </c>
      <c r="W31" s="31">
        <f>+U31-V31</f>
        <v>-11.23424</v>
      </c>
      <c r="X31" s="31">
        <v>0</v>
      </c>
      <c r="Y31" s="134">
        <f>+'COP TUXTLA'!V35</f>
        <v>57.63961027397261</v>
      </c>
      <c r="Z31" s="31"/>
      <c r="AA31" s="146"/>
      <c r="AB31" s="204">
        <f t="shared" si="0"/>
        <v>46.40537027397261</v>
      </c>
      <c r="AC31" s="31">
        <f t="shared" si="17"/>
        <v>951.0946297260274</v>
      </c>
      <c r="AD31" s="146"/>
      <c r="AE31" s="146"/>
      <c r="AF31" s="135">
        <f t="shared" si="9"/>
        <v>0</v>
      </c>
      <c r="AG31" s="218">
        <f t="shared" si="2"/>
        <v>951.0946297260274</v>
      </c>
      <c r="AH31" s="212" t="s">
        <v>199</v>
      </c>
      <c r="AI31" s="201"/>
      <c r="AJ31" s="243" t="str">
        <f t="shared" si="10"/>
        <v>Z</v>
      </c>
      <c r="AK31" s="244">
        <v>2394</v>
      </c>
      <c r="AL31" s="202">
        <v>0</v>
      </c>
      <c r="AM31" s="202">
        <v>-21.33663999999999</v>
      </c>
      <c r="AN31" s="202"/>
      <c r="AO31" s="202">
        <v>57.63961027397261</v>
      </c>
      <c r="AP31" s="244">
        <f t="shared" si="11"/>
        <v>36.30297027397262</v>
      </c>
      <c r="AQ31" s="244">
        <f t="shared" si="12"/>
        <v>2357.6970297260273</v>
      </c>
      <c r="AR31" s="202">
        <f t="shared" si="13"/>
        <v>2357.6970297260273</v>
      </c>
      <c r="AS31" s="217">
        <f t="shared" si="14"/>
        <v>-1406.6023999999998</v>
      </c>
      <c r="AT31" s="202">
        <f t="shared" si="3"/>
        <v>951.0946297260275</v>
      </c>
      <c r="AV31" s="202">
        <v>712.31</v>
      </c>
      <c r="AW31" s="217">
        <f t="shared" si="4"/>
        <v>-1406.6023999999998</v>
      </c>
      <c r="AX31" s="250">
        <f t="shared" si="5"/>
        <v>2118.9123999999997</v>
      </c>
      <c r="AZ31" s="133"/>
      <c r="BA31" s="38"/>
      <c r="BB31" s="180"/>
    </row>
    <row r="32" spans="1:54" ht="15">
      <c r="A32" s="32" t="s">
        <v>181</v>
      </c>
      <c r="B32" s="225" t="str">
        <f>+modsalario2021!B32</f>
        <v>AB</v>
      </c>
      <c r="C32" s="257"/>
      <c r="D32" s="257"/>
      <c r="E32" s="282"/>
      <c r="F32" s="282"/>
      <c r="G32" s="204">
        <f>+modsalario2021!I32</f>
        <v>142.5</v>
      </c>
      <c r="H32" s="204">
        <f>+modsalario2021!Q32</f>
        <v>159.14301369863014</v>
      </c>
      <c r="I32" s="147">
        <v>7</v>
      </c>
      <c r="J32" s="38">
        <f t="shared" si="6"/>
        <v>997.5</v>
      </c>
      <c r="K32" s="38"/>
      <c r="L32" s="38"/>
      <c r="M32" s="197"/>
      <c r="N32" s="38"/>
      <c r="O32" s="38"/>
      <c r="P32" s="38"/>
      <c r="Q32" s="38"/>
      <c r="R32" s="133"/>
      <c r="S32" s="38"/>
      <c r="T32" s="38">
        <f t="shared" si="7"/>
        <v>997.5</v>
      </c>
      <c r="U32" s="31">
        <f>+ISRAbril2021!O59</f>
        <v>63.59576</v>
      </c>
      <c r="V32" s="31">
        <f>+ISRAbril2021!P59</f>
        <v>74.83</v>
      </c>
      <c r="W32" s="31">
        <f>+U32-V32</f>
        <v>-11.23424</v>
      </c>
      <c r="X32" s="31">
        <v>0</v>
      </c>
      <c r="Y32" s="134">
        <f>+'COP TUXTLA'!V36</f>
        <v>57.63961027397261</v>
      </c>
      <c r="Z32" s="31"/>
      <c r="AA32" s="146"/>
      <c r="AB32" s="204">
        <f t="shared" si="0"/>
        <v>46.40537027397261</v>
      </c>
      <c r="AC32" s="31">
        <f t="shared" si="17"/>
        <v>951.0946297260274</v>
      </c>
      <c r="AD32" s="146"/>
      <c r="AE32" s="146"/>
      <c r="AF32" s="135">
        <f>AD32+AE32</f>
        <v>0</v>
      </c>
      <c r="AG32" s="218">
        <f t="shared" si="2"/>
        <v>951.0946297260274</v>
      </c>
      <c r="AH32" s="212" t="s">
        <v>199</v>
      </c>
      <c r="AI32" s="201"/>
      <c r="AJ32" s="243" t="str">
        <f t="shared" si="10"/>
        <v>AB</v>
      </c>
      <c r="AK32" s="244">
        <v>2137.5</v>
      </c>
      <c r="AL32" s="202">
        <v>0</v>
      </c>
      <c r="AM32" s="202">
        <v>-66.10263999999998</v>
      </c>
      <c r="AN32" s="202"/>
      <c r="AO32" s="202">
        <v>57.63961027397261</v>
      </c>
      <c r="AP32" s="244">
        <f t="shared" si="11"/>
        <v>-8.463029726027372</v>
      </c>
      <c r="AQ32" s="244">
        <f t="shared" si="12"/>
        <v>2145.9630297260273</v>
      </c>
      <c r="AR32" s="202">
        <f t="shared" si="13"/>
        <v>2145.9630297260273</v>
      </c>
      <c r="AS32" s="217">
        <f t="shared" si="14"/>
        <v>-1194.8683999999998</v>
      </c>
      <c r="AT32" s="202">
        <f t="shared" si="3"/>
        <v>951.0946297260275</v>
      </c>
      <c r="AV32" s="202">
        <v>718.01</v>
      </c>
      <c r="AW32" s="217">
        <f t="shared" si="4"/>
        <v>-1194.8683999999998</v>
      </c>
      <c r="AX32" s="250">
        <f t="shared" si="5"/>
        <v>1912.8783999999998</v>
      </c>
      <c r="AZ32" s="133"/>
      <c r="BA32" s="38"/>
      <c r="BB32" s="180"/>
    </row>
    <row r="33" spans="1:54" ht="15">
      <c r="A33" s="32" t="s">
        <v>181</v>
      </c>
      <c r="B33" s="225" t="str">
        <f>+modsalario2021!B34</f>
        <v>AD</v>
      </c>
      <c r="C33" s="277">
        <f>+modsalario2021!C34</f>
        <v>71978248525</v>
      </c>
      <c r="D33" s="277">
        <f>+modsalario2021!D34</f>
        <v>0</v>
      </c>
      <c r="E33" s="277" t="str">
        <f>+modsalario2021!E34</f>
        <v>LOJF8210195Y2</v>
      </c>
      <c r="F33" s="277" t="str">
        <f>+modsalario2021!F34</f>
        <v>LOJF821019HCSPNB08</v>
      </c>
      <c r="G33" s="204">
        <f>+modsalario2021!I34</f>
        <v>142.5</v>
      </c>
      <c r="H33" s="204">
        <f>+modsalario2021!Q34</f>
        <v>159.14301369863014</v>
      </c>
      <c r="I33" s="147">
        <v>7</v>
      </c>
      <c r="J33" s="38">
        <f t="shared" si="6"/>
        <v>997.5</v>
      </c>
      <c r="K33" s="38"/>
      <c r="L33" s="38"/>
      <c r="M33" s="197"/>
      <c r="N33" s="38"/>
      <c r="O33" s="38"/>
      <c r="P33" s="38"/>
      <c r="Q33" s="38"/>
      <c r="R33" s="133"/>
      <c r="S33" s="202"/>
      <c r="T33" s="38">
        <f t="shared" si="7"/>
        <v>997.5</v>
      </c>
      <c r="U33" s="31">
        <f>+ISRAbril2021!O60</f>
        <v>57.21176</v>
      </c>
      <c r="V33" s="31">
        <f>+ISRAbril2021!P60</f>
        <v>88.06</v>
      </c>
      <c r="W33" s="31">
        <f>+U33-V33</f>
        <v>-30.848240000000004</v>
      </c>
      <c r="X33" s="31">
        <v>0</v>
      </c>
      <c r="Y33" s="134">
        <f>+'COP TUXTLA'!V37</f>
        <v>57.63961027397261</v>
      </c>
      <c r="Z33" s="31"/>
      <c r="AA33" s="146"/>
      <c r="AB33" s="204">
        <f t="shared" si="0"/>
        <v>26.791370273972603</v>
      </c>
      <c r="AC33" s="31">
        <f t="shared" si="17"/>
        <v>970.7086297260274</v>
      </c>
      <c r="AD33" s="146"/>
      <c r="AE33" s="146"/>
      <c r="AF33" s="135"/>
      <c r="AG33" s="218">
        <f t="shared" si="2"/>
        <v>970.7086297260274</v>
      </c>
      <c r="AH33" s="212" t="s">
        <v>199</v>
      </c>
      <c r="AI33" s="201"/>
      <c r="AJ33" s="243" t="str">
        <f t="shared" si="10"/>
        <v>AD</v>
      </c>
      <c r="AK33" s="244">
        <v>2565</v>
      </c>
      <c r="AL33" s="202">
        <v>0</v>
      </c>
      <c r="AM33" s="202">
        <v>-10.39264</v>
      </c>
      <c r="AN33" s="202"/>
      <c r="AO33" s="202">
        <v>57.63961027397261</v>
      </c>
      <c r="AP33" s="244">
        <f>SUM(AL33:AO33)</f>
        <v>47.24697027397261</v>
      </c>
      <c r="AQ33" s="244">
        <f t="shared" si="12"/>
        <v>2517.7530297260273</v>
      </c>
      <c r="AR33" s="202">
        <f>+AK33-AP33</f>
        <v>2517.7530297260273</v>
      </c>
      <c r="AS33" s="217">
        <f>AC33-AR33</f>
        <v>-1547.0443999999998</v>
      </c>
      <c r="AT33" s="202">
        <f>+AR33+AS33</f>
        <v>970.7086297260275</v>
      </c>
      <c r="AV33" s="202">
        <v>800</v>
      </c>
      <c r="AW33" s="217">
        <f t="shared" si="4"/>
        <v>-1547.0443999999998</v>
      </c>
      <c r="AX33" s="250">
        <f>+AV33-AW33</f>
        <v>2347.0443999999998</v>
      </c>
      <c r="AZ33" s="133"/>
      <c r="BA33" s="38"/>
      <c r="BB33" s="180"/>
    </row>
    <row r="34" spans="1:54" ht="15">
      <c r="A34" s="32" t="s">
        <v>181</v>
      </c>
      <c r="B34" s="225" t="str">
        <f>+modsalario2021!B35</f>
        <v>AC</v>
      </c>
      <c r="C34" s="267" t="str">
        <f>+modsalario2021!C35</f>
        <v>06139634031</v>
      </c>
      <c r="D34" s="277">
        <f>+modsalario2021!D35</f>
        <v>0</v>
      </c>
      <c r="E34" s="277" t="str">
        <f>+modsalario2021!E35</f>
        <v>GOVP960704851</v>
      </c>
      <c r="F34" s="277" t="str">
        <f>+modsalario2021!F35</f>
        <v>GOVP960704MCSNRL04</v>
      </c>
      <c r="G34" s="204">
        <f>+modsalario2021!I35</f>
        <v>142.5</v>
      </c>
      <c r="H34" s="204">
        <f>+modsalario2021!Q35</f>
        <v>159.14301369863014</v>
      </c>
      <c r="I34" s="147">
        <v>7</v>
      </c>
      <c r="J34" s="38">
        <f t="shared" si="6"/>
        <v>997.5</v>
      </c>
      <c r="K34" s="38"/>
      <c r="L34" s="38"/>
      <c r="M34" s="197"/>
      <c r="N34" s="38"/>
      <c r="O34" s="38"/>
      <c r="P34" s="38"/>
      <c r="Q34" s="38"/>
      <c r="R34" s="202"/>
      <c r="S34" s="202"/>
      <c r="T34" s="38">
        <f t="shared" si="7"/>
        <v>997.5</v>
      </c>
      <c r="U34" s="31">
        <f>+ISRAbril2021!O61</f>
        <v>57.21176</v>
      </c>
      <c r="V34" s="31">
        <f>+ISRAbril2021!P61</f>
        <v>88.06</v>
      </c>
      <c r="W34" s="31">
        <v>0</v>
      </c>
      <c r="X34" s="31">
        <f t="shared" si="18"/>
        <v>-30.848240000000004</v>
      </c>
      <c r="Y34" s="134">
        <f>+'COP TUXTLA'!V38</f>
        <v>57.63961027397261</v>
      </c>
      <c r="Z34" s="31"/>
      <c r="AA34" s="146"/>
      <c r="AB34" s="204">
        <f t="shared" si="0"/>
        <v>26.791370273972603</v>
      </c>
      <c r="AC34" s="31">
        <f t="shared" si="17"/>
        <v>970.7086297260274</v>
      </c>
      <c r="AD34" s="146">
        <v>0</v>
      </c>
      <c r="AE34" s="146">
        <v>0</v>
      </c>
      <c r="AF34" s="135">
        <f>AD34+AE34</f>
        <v>0</v>
      </c>
      <c r="AG34" s="218">
        <f t="shared" si="2"/>
        <v>970.7086297260274</v>
      </c>
      <c r="AH34" s="212" t="s">
        <v>199</v>
      </c>
      <c r="AI34" s="201"/>
      <c r="AJ34" s="243" t="str">
        <f t="shared" si="10"/>
        <v>AC</v>
      </c>
      <c r="AK34" s="244">
        <v>2137.5</v>
      </c>
      <c r="AL34" s="202">
        <v>0</v>
      </c>
      <c r="AM34" s="202">
        <v>-66.10263999999998</v>
      </c>
      <c r="AN34" s="202"/>
      <c r="AO34" s="202">
        <v>57.63961027397261</v>
      </c>
      <c r="AP34" s="244">
        <f>SUM(AL34:AO34)</f>
        <v>-8.463029726027372</v>
      </c>
      <c r="AQ34" s="244">
        <f t="shared" si="12"/>
        <v>2145.9630297260273</v>
      </c>
      <c r="AR34" s="202">
        <f t="shared" si="13"/>
        <v>2145.9630297260273</v>
      </c>
      <c r="AS34" s="217">
        <f t="shared" si="14"/>
        <v>-1175.2543999999998</v>
      </c>
      <c r="AT34" s="202">
        <f t="shared" si="3"/>
        <v>970.7086297260275</v>
      </c>
      <c r="AV34" s="202"/>
      <c r="AW34" s="217">
        <v>0</v>
      </c>
      <c r="AX34" s="217">
        <f t="shared" si="5"/>
        <v>0</v>
      </c>
      <c r="AZ34" s="133">
        <f>((G34/8)*2)*2.75</f>
        <v>97.96875</v>
      </c>
      <c r="BA34" s="38">
        <v>0</v>
      </c>
      <c r="BB34" s="180"/>
    </row>
    <row r="35" spans="1:50" ht="15">
      <c r="A35" s="56"/>
      <c r="B35" s="25"/>
      <c r="C35" s="25"/>
      <c r="D35" s="25"/>
      <c r="E35" s="37"/>
      <c r="F35" s="37"/>
      <c r="G35" s="256"/>
      <c r="H35" s="41"/>
      <c r="I35" s="147"/>
      <c r="J35" s="41">
        <f aca="true" t="shared" si="19" ref="I35:T35">SUM(J7:J34)</f>
        <v>30888.48</v>
      </c>
      <c r="K35" s="41">
        <f t="shared" si="19"/>
        <v>0</v>
      </c>
      <c r="L35" s="41">
        <f t="shared" si="19"/>
        <v>0</v>
      </c>
      <c r="M35" s="41">
        <f t="shared" si="19"/>
        <v>0</v>
      </c>
      <c r="N35" s="41">
        <f t="shared" si="19"/>
        <v>0</v>
      </c>
      <c r="O35" s="41">
        <f t="shared" si="19"/>
        <v>0</v>
      </c>
      <c r="P35" s="41">
        <f t="shared" si="19"/>
        <v>0</v>
      </c>
      <c r="Q35" s="41">
        <f t="shared" si="19"/>
        <v>0</v>
      </c>
      <c r="R35" s="41">
        <f t="shared" si="19"/>
        <v>0</v>
      </c>
      <c r="S35" s="41">
        <f t="shared" si="19"/>
        <v>0</v>
      </c>
      <c r="T35" s="41">
        <f t="shared" si="19"/>
        <v>30888.48</v>
      </c>
      <c r="U35" s="41"/>
      <c r="V35" s="41"/>
      <c r="W35" s="41">
        <f aca="true" t="shared" si="20" ref="W35:AG35">SUM(W7:W34)</f>
        <v>382.68163519999985</v>
      </c>
      <c r="X35" s="41">
        <f t="shared" si="20"/>
        <v>-64.55096</v>
      </c>
      <c r="Y35" s="41">
        <f t="shared" si="20"/>
        <v>1822.90789294573</v>
      </c>
      <c r="Z35" s="41">
        <f t="shared" si="20"/>
        <v>0</v>
      </c>
      <c r="AA35" s="41">
        <f t="shared" si="20"/>
        <v>680</v>
      </c>
      <c r="AB35" s="41">
        <f t="shared" si="20"/>
        <v>2821.0385681457274</v>
      </c>
      <c r="AC35" s="41">
        <f t="shared" si="20"/>
        <v>28067.441431854273</v>
      </c>
      <c r="AD35" s="41">
        <f t="shared" si="20"/>
        <v>4050</v>
      </c>
      <c r="AE35" s="41">
        <f t="shared" si="20"/>
        <v>3316.3400000000006</v>
      </c>
      <c r="AF35" s="41">
        <f t="shared" si="20"/>
        <v>7366.34</v>
      </c>
      <c r="AG35" s="41">
        <f t="shared" si="20"/>
        <v>20701.101431854273</v>
      </c>
      <c r="AH35" s="209"/>
      <c r="AI35" s="201"/>
      <c r="AJ35" s="242">
        <f t="shared" si="10"/>
        <v>0</v>
      </c>
      <c r="AK35" s="41">
        <f aca="true" t="shared" si="21" ref="AK35:AT35">SUM(AK7:AK34)</f>
        <v>79217.003325</v>
      </c>
      <c r="AL35" s="41">
        <f t="shared" si="21"/>
        <v>1531.5227280000001</v>
      </c>
      <c r="AM35" s="41">
        <f t="shared" si="21"/>
        <v>-455.8805071999999</v>
      </c>
      <c r="AN35" s="41">
        <f t="shared" si="21"/>
        <v>680</v>
      </c>
      <c r="AO35" s="41">
        <f t="shared" si="21"/>
        <v>1822.90789294573</v>
      </c>
      <c r="AP35" s="41">
        <f t="shared" si="21"/>
        <v>3578.550113745729</v>
      </c>
      <c r="AQ35" s="41">
        <f t="shared" si="21"/>
        <v>75638.45321125427</v>
      </c>
      <c r="AR35" s="41">
        <f t="shared" si="21"/>
        <v>75638.45321125427</v>
      </c>
      <c r="AS35" s="41">
        <f t="shared" si="21"/>
        <v>-47571.011779399996</v>
      </c>
      <c r="AT35" s="41">
        <f t="shared" si="21"/>
        <v>28067.44143185427</v>
      </c>
      <c r="AV35" s="41">
        <f>SUM(AV7:AV34)</f>
        <v>37779.31</v>
      </c>
      <c r="AW35" s="41">
        <f>SUM(AW7:AW34)</f>
        <v>-46395.7573794</v>
      </c>
      <c r="AX35" s="41">
        <f>SUM(AX7:AX34)</f>
        <v>84175.0673794</v>
      </c>
    </row>
    <row r="36" spans="1:48" ht="15">
      <c r="A36" s="56"/>
      <c r="B36" s="25"/>
      <c r="C36" s="25"/>
      <c r="D36" s="25"/>
      <c r="E36" s="37"/>
      <c r="F36" s="37"/>
      <c r="G36" s="230"/>
      <c r="H36" s="49"/>
      <c r="I36" s="287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181">
        <v>0</v>
      </c>
      <c r="AF36" s="41"/>
      <c r="AG36" s="153">
        <f>+AG7+AG15+AG21+AG22+AG25+AG26+AG27+AG28+AG29+AG30+AG31+AG32+AG33+AG34</f>
        <v>12206.141347841403</v>
      </c>
      <c r="AH36" s="209"/>
      <c r="AI36" s="201"/>
      <c r="AJ36" s="201"/>
      <c r="AQ36" s="181"/>
      <c r="AV36" s="180">
        <v>-16711.61</v>
      </c>
    </row>
  </sheetData>
  <sheetProtection/>
  <mergeCells count="16">
    <mergeCell ref="AB4:AB5"/>
    <mergeCell ref="AC4:AC5"/>
    <mergeCell ref="AK4:AR4"/>
    <mergeCell ref="A6:B6"/>
    <mergeCell ref="G4:G5"/>
    <mergeCell ref="H4:H5"/>
    <mergeCell ref="I4:I5"/>
    <mergeCell ref="J4:S4"/>
    <mergeCell ref="T4:T5"/>
    <mergeCell ref="U4:X4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portrait" scale="1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36"/>
  <sheetViews>
    <sheetView zoomScale="150" zoomScaleNormal="150" zoomScalePageLayoutView="0" workbookViewId="0" topLeftCell="A22">
      <pane xSplit="2" topLeftCell="P1" activePane="topRight" state="frozen"/>
      <selection pane="topLeft" activeCell="A1" sqref="A1"/>
      <selection pane="topRight" activeCell="K7" sqref="K7:S34"/>
    </sheetView>
  </sheetViews>
  <sheetFormatPr defaultColWidth="11.421875" defaultRowHeight="15"/>
  <cols>
    <col min="1" max="1" width="6.421875" style="191" customWidth="1"/>
    <col min="2" max="2" width="27.140625" style="0" customWidth="1"/>
    <col min="3" max="3" width="16.57421875" style="0" customWidth="1"/>
    <col min="4" max="4" width="13.00390625" style="0" customWidth="1"/>
    <col min="5" max="5" width="20.421875" style="0" customWidth="1"/>
    <col min="6" max="6" width="24.7109375" style="192" customWidth="1"/>
    <col min="7" max="7" width="13.7109375" style="192" customWidth="1"/>
    <col min="8" max="8" width="13.00390625" style="0" customWidth="1"/>
    <col min="9" max="9" width="14.140625" style="0" customWidth="1"/>
    <col min="10" max="10" width="15.8515625" style="0" customWidth="1"/>
    <col min="11" max="11" width="14.421875" style="0" customWidth="1"/>
    <col min="12" max="12" width="14.8515625" style="0" customWidth="1"/>
    <col min="13" max="13" width="15.57421875" style="0" customWidth="1"/>
    <col min="14" max="16" width="17.57421875" style="0" customWidth="1"/>
    <col min="17" max="18" width="14.8515625" style="159" customWidth="1"/>
    <col min="19" max="19" width="13.140625" style="53" customWidth="1"/>
    <col min="20" max="20" width="16.7109375" style="0" customWidth="1"/>
    <col min="21" max="22" width="13.00390625" style="0" customWidth="1"/>
    <col min="23" max="23" width="14.57421875" style="0" customWidth="1"/>
    <col min="24" max="24" width="13.8515625" style="0" customWidth="1"/>
    <col min="25" max="25" width="15.140625" style="0" customWidth="1"/>
    <col min="26" max="26" width="15.8515625" style="0" customWidth="1"/>
    <col min="27" max="27" width="15.28125" style="0" customWidth="1"/>
    <col min="28" max="32" width="15.8515625" style="0" customWidth="1"/>
    <col min="33" max="33" width="15.421875" style="0" customWidth="1"/>
    <col min="34" max="34" width="17.421875" style="206" customWidth="1"/>
    <col min="35" max="35" width="4.28125" style="0" customWidth="1"/>
    <col min="36" max="36" width="37.57421875" style="159" customWidth="1"/>
    <col min="37" max="37" width="14.140625" style="0" customWidth="1"/>
    <col min="38" max="38" width="12.8515625" style="0" customWidth="1"/>
    <col min="39" max="39" width="11.140625" style="0" customWidth="1"/>
    <col min="40" max="40" width="11.421875" style="0" customWidth="1"/>
    <col min="41" max="42" width="12.8515625" style="0" customWidth="1"/>
    <col min="43" max="45" width="14.140625" style="0" customWidth="1"/>
    <col min="46" max="46" width="16.00390625" style="0" customWidth="1"/>
    <col min="47" max="47" width="3.421875" style="0" customWidth="1"/>
    <col min="48" max="50" width="14.140625" style="0" customWidth="1"/>
    <col min="51" max="51" width="11.421875" style="0" customWidth="1"/>
    <col min="52" max="53" width="11.421875" style="0" hidden="1" customWidth="1"/>
    <col min="54" max="54" width="11.421875" style="0" customWidth="1"/>
  </cols>
  <sheetData>
    <row r="2" spans="1:9" ht="15">
      <c r="A2" s="186"/>
      <c r="B2" s="186" t="s">
        <v>32</v>
      </c>
      <c r="C2" s="186"/>
      <c r="D2" s="186"/>
      <c r="E2" s="186"/>
      <c r="F2" s="186"/>
      <c r="G2" s="186"/>
      <c r="H2" s="186"/>
      <c r="I2" s="186"/>
    </row>
    <row r="3" spans="1:9" ht="15">
      <c r="A3" s="185"/>
      <c r="B3" s="185" t="s">
        <v>253</v>
      </c>
      <c r="C3" s="185"/>
      <c r="D3" s="185"/>
      <c r="E3" s="185"/>
      <c r="F3" s="185"/>
      <c r="G3" s="185"/>
      <c r="H3" s="185"/>
      <c r="I3" s="185"/>
    </row>
    <row r="4" spans="1:44" ht="14.25" customHeight="1">
      <c r="A4" s="346"/>
      <c r="B4" s="346" t="s">
        <v>34</v>
      </c>
      <c r="C4" s="346" t="s">
        <v>37</v>
      </c>
      <c r="D4" s="346" t="s">
        <v>38</v>
      </c>
      <c r="E4" s="346" t="s">
        <v>31</v>
      </c>
      <c r="F4" s="347" t="s">
        <v>35</v>
      </c>
      <c r="G4" s="349" t="s">
        <v>1</v>
      </c>
      <c r="H4" s="346" t="s">
        <v>39</v>
      </c>
      <c r="I4" s="346" t="s">
        <v>0</v>
      </c>
      <c r="J4" s="351" t="s">
        <v>40</v>
      </c>
      <c r="K4" s="352"/>
      <c r="L4" s="352"/>
      <c r="M4" s="352"/>
      <c r="N4" s="352"/>
      <c r="O4" s="352"/>
      <c r="P4" s="352"/>
      <c r="Q4" s="352"/>
      <c r="R4" s="352"/>
      <c r="S4" s="353"/>
      <c r="T4" s="349" t="s">
        <v>44</v>
      </c>
      <c r="U4" s="351" t="s">
        <v>2</v>
      </c>
      <c r="V4" s="352"/>
      <c r="W4" s="352"/>
      <c r="X4" s="353"/>
      <c r="Y4" s="136"/>
      <c r="Z4" s="136"/>
      <c r="AA4" s="136"/>
      <c r="AB4" s="349" t="s">
        <v>50</v>
      </c>
      <c r="AC4" s="349" t="s">
        <v>51</v>
      </c>
      <c r="AD4" s="137" t="s">
        <v>2</v>
      </c>
      <c r="AE4" s="138"/>
      <c r="AF4" s="138"/>
      <c r="AG4" s="128"/>
      <c r="AH4" s="207"/>
      <c r="AI4" s="50"/>
      <c r="AJ4" s="50"/>
      <c r="AK4" s="348" t="s">
        <v>221</v>
      </c>
      <c r="AL4" s="348"/>
      <c r="AM4" s="348"/>
      <c r="AN4" s="348"/>
      <c r="AO4" s="348"/>
      <c r="AP4" s="348"/>
      <c r="AQ4" s="348"/>
      <c r="AR4" s="348"/>
    </row>
    <row r="5" spans="1:50" ht="37.5" customHeight="1">
      <c r="A5" s="346"/>
      <c r="B5" s="346"/>
      <c r="C5" s="346"/>
      <c r="D5" s="346"/>
      <c r="E5" s="346"/>
      <c r="F5" s="347"/>
      <c r="G5" s="350"/>
      <c r="H5" s="346"/>
      <c r="I5" s="346"/>
      <c r="J5" s="126" t="s">
        <v>41</v>
      </c>
      <c r="K5" s="141" t="s">
        <v>52</v>
      </c>
      <c r="L5" s="139" t="s">
        <v>42</v>
      </c>
      <c r="M5" s="139" t="s">
        <v>168</v>
      </c>
      <c r="N5" s="132" t="s">
        <v>252</v>
      </c>
      <c r="O5" s="139" t="s">
        <v>175</v>
      </c>
      <c r="P5" s="139" t="s">
        <v>228</v>
      </c>
      <c r="Q5" s="139" t="s">
        <v>158</v>
      </c>
      <c r="R5" s="139" t="s">
        <v>220</v>
      </c>
      <c r="S5" s="139" t="s">
        <v>60</v>
      </c>
      <c r="T5" s="350"/>
      <c r="U5" s="132" t="s">
        <v>45</v>
      </c>
      <c r="V5" s="132" t="s">
        <v>46</v>
      </c>
      <c r="W5" s="132" t="s">
        <v>47</v>
      </c>
      <c r="X5" s="132" t="s">
        <v>48</v>
      </c>
      <c r="Y5" s="132" t="s">
        <v>163</v>
      </c>
      <c r="Z5" s="132" t="s">
        <v>169</v>
      </c>
      <c r="AA5" s="132" t="s">
        <v>49</v>
      </c>
      <c r="AB5" s="350"/>
      <c r="AC5" s="350"/>
      <c r="AD5" s="47" t="s">
        <v>154</v>
      </c>
      <c r="AE5" s="47" t="s">
        <v>166</v>
      </c>
      <c r="AF5" s="47" t="s">
        <v>156</v>
      </c>
      <c r="AG5" s="47" t="s">
        <v>157</v>
      </c>
      <c r="AH5" s="132" t="s">
        <v>70</v>
      </c>
      <c r="AJ5" s="249" t="s">
        <v>223</v>
      </c>
      <c r="AK5" s="246" t="s">
        <v>44</v>
      </c>
      <c r="AL5" s="247" t="s">
        <v>47</v>
      </c>
      <c r="AM5" s="247" t="s">
        <v>48</v>
      </c>
      <c r="AN5" s="248" t="s">
        <v>49</v>
      </c>
      <c r="AO5" s="248" t="s">
        <v>163</v>
      </c>
      <c r="AP5" s="246" t="s">
        <v>50</v>
      </c>
      <c r="AQ5" s="246" t="s">
        <v>51</v>
      </c>
      <c r="AR5" s="246" t="s">
        <v>224</v>
      </c>
      <c r="AS5" s="246" t="s">
        <v>225</v>
      </c>
      <c r="AT5" s="246" t="s">
        <v>226</v>
      </c>
      <c r="AV5" s="246" t="s">
        <v>222</v>
      </c>
      <c r="AW5" s="246" t="s">
        <v>225</v>
      </c>
      <c r="AX5" s="246" t="s">
        <v>227</v>
      </c>
    </row>
    <row r="6" spans="1:39" ht="15">
      <c r="A6" s="338"/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S6" s="26"/>
      <c r="T6" s="26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208"/>
      <c r="AI6" s="25"/>
      <c r="AJ6" s="25"/>
      <c r="AK6" s="156"/>
      <c r="AL6" s="180"/>
      <c r="AM6" s="180"/>
    </row>
    <row r="7" spans="1:54" ht="15">
      <c r="A7" s="32" t="s">
        <v>181</v>
      </c>
      <c r="B7" s="225" t="str">
        <f>+modsalario2021!B4</f>
        <v>A</v>
      </c>
      <c r="C7" s="257">
        <f>+modsalario2021!C4</f>
        <v>71027104935</v>
      </c>
      <c r="D7" s="257">
        <f>+modsalario2021!D4</f>
        <v>0</v>
      </c>
      <c r="E7" s="282" t="str">
        <f>+modsalario2021!E4</f>
        <v>COPD710805H80</v>
      </c>
      <c r="F7" s="282" t="str">
        <f>+modsalario2021!F4</f>
        <v>COPD710805HCSRRN09</v>
      </c>
      <c r="G7" s="31">
        <f>+modsalario2021!I4</f>
        <v>176.07</v>
      </c>
      <c r="H7" s="31">
        <f>+modsalario2021!Q4</f>
        <v>195.7121636328805</v>
      </c>
      <c r="I7" s="55">
        <v>7</v>
      </c>
      <c r="J7" s="38">
        <f>G7*I7</f>
        <v>1232.49</v>
      </c>
      <c r="K7" s="38"/>
      <c r="L7" s="38"/>
      <c r="M7" s="197"/>
      <c r="N7" s="17"/>
      <c r="O7" s="17"/>
      <c r="P7" s="17"/>
      <c r="Q7" s="151"/>
      <c r="R7" s="133"/>
      <c r="S7" s="38"/>
      <c r="T7" s="38">
        <f>SUM(J7:S7)</f>
        <v>1232.49</v>
      </c>
      <c r="U7" s="31">
        <f>+ISRAbril2021!O34</f>
        <v>84.4357792</v>
      </c>
      <c r="V7" s="31">
        <f>+ISRAbril2021!P34</f>
        <v>67.83</v>
      </c>
      <c r="W7" s="31">
        <f>+U7-V7</f>
        <v>16.6057792</v>
      </c>
      <c r="X7" s="31">
        <v>0</v>
      </c>
      <c r="Y7" s="134">
        <f>+'COP TUXTLA'!V7</f>
        <v>70.88449926578392</v>
      </c>
      <c r="Z7" s="31"/>
      <c r="AA7" s="31"/>
      <c r="AB7" s="31">
        <f aca="true" t="shared" si="0" ref="AB7:AB34">W7+X7+AA7+Y7+Z7</f>
        <v>87.49027846578392</v>
      </c>
      <c r="AC7" s="31">
        <f aca="true" t="shared" si="1" ref="AC7:AC22">T7-AB7</f>
        <v>1144.9997215342162</v>
      </c>
      <c r="AD7" s="146">
        <v>200</v>
      </c>
      <c r="AE7" s="146">
        <v>0</v>
      </c>
      <c r="AF7" s="135">
        <f>AD7+AE7</f>
        <v>200</v>
      </c>
      <c r="AG7" s="204">
        <f aca="true" t="shared" si="2" ref="AG7:AG26">AC7-AF7</f>
        <v>944.9997215342162</v>
      </c>
      <c r="AH7" s="211" t="s">
        <v>199</v>
      </c>
      <c r="AI7" s="201"/>
      <c r="AJ7" s="243" t="str">
        <f>B7</f>
        <v>A</v>
      </c>
      <c r="AK7" s="244">
        <v>2746.692</v>
      </c>
      <c r="AL7" s="202">
        <v>18.344281600000045</v>
      </c>
      <c r="AM7" s="202">
        <v>0</v>
      </c>
      <c r="AN7" s="202"/>
      <c r="AO7" s="202">
        <v>70.88449926578392</v>
      </c>
      <c r="AP7" s="244">
        <f>SUM(AL7:AO7)</f>
        <v>89.22878086578396</v>
      </c>
      <c r="AQ7" s="244">
        <f>AK7-AP7</f>
        <v>2657.463219134216</v>
      </c>
      <c r="AR7" s="202">
        <f>+AK7-AP7</f>
        <v>2657.463219134216</v>
      </c>
      <c r="AS7" s="217">
        <f>AC7-AR7</f>
        <v>-1512.4634976</v>
      </c>
      <c r="AT7" s="202">
        <f aca="true" t="shared" si="3" ref="AT7:AT34">+AR7+AS7</f>
        <v>1144.9997215342162</v>
      </c>
      <c r="AV7" s="202">
        <v>3609.06</v>
      </c>
      <c r="AW7" s="202">
        <f aca="true" t="shared" si="4" ref="AW7:AW27">+AS7</f>
        <v>-1512.4634976</v>
      </c>
      <c r="AX7" s="250">
        <f aca="true" t="shared" si="5" ref="AX7:AX34">+AV7-AW7</f>
        <v>5121.5234976</v>
      </c>
      <c r="AZ7" s="133">
        <f>(((G7/8)*2)*9)*2</f>
        <v>792.3149999999999</v>
      </c>
      <c r="BA7" s="38">
        <f>9.03*30</f>
        <v>270.9</v>
      </c>
      <c r="BB7" s="180"/>
    </row>
    <row r="8" spans="1:54" ht="15">
      <c r="A8" s="32" t="s">
        <v>181</v>
      </c>
      <c r="B8" s="225" t="str">
        <f>+modsalario2021!B5</f>
        <v>B</v>
      </c>
      <c r="C8" s="257">
        <f>+modsalario2021!C5</f>
        <v>71068906206</v>
      </c>
      <c r="D8" s="257">
        <f>+modsalario2021!D5</f>
        <v>0</v>
      </c>
      <c r="E8" s="282" t="str">
        <f>+modsalario2021!E5</f>
        <v>EIGR8904026AA</v>
      </c>
      <c r="F8" s="282" t="str">
        <f>+modsalario2021!F5</f>
        <v>EIGR890402HCSSLC06</v>
      </c>
      <c r="G8" s="31">
        <f>+modsalario2021!I5</f>
        <v>176.07</v>
      </c>
      <c r="H8" s="31">
        <f>+modsalario2021!Q5</f>
        <v>195.7121636328805</v>
      </c>
      <c r="I8" s="147">
        <v>7</v>
      </c>
      <c r="J8" s="38">
        <f aca="true" t="shared" si="6" ref="J8:J27">G8*I8</f>
        <v>1232.49</v>
      </c>
      <c r="K8" s="38"/>
      <c r="L8" s="38"/>
      <c r="M8" s="38"/>
      <c r="N8" s="133"/>
      <c r="O8" s="155"/>
      <c r="P8" s="155"/>
      <c r="Q8" s="155"/>
      <c r="R8" s="133"/>
      <c r="S8" s="38"/>
      <c r="T8" s="38">
        <f aca="true" t="shared" si="7" ref="T8:T27">SUM(J8:S8)</f>
        <v>1232.49</v>
      </c>
      <c r="U8" s="31">
        <f>+ISRAbril2021!O35</f>
        <v>84.4357792</v>
      </c>
      <c r="V8" s="31">
        <f>+ISRAbril2021!P35</f>
        <v>67.83</v>
      </c>
      <c r="W8" s="31">
        <f aca="true" t="shared" si="8" ref="W8:W28">+U8-V8</f>
        <v>16.6057792</v>
      </c>
      <c r="X8" s="31">
        <v>0</v>
      </c>
      <c r="Y8" s="134">
        <f>+'COP TUXTLA'!V8</f>
        <v>70.88449926578392</v>
      </c>
      <c r="Z8" s="31"/>
      <c r="AA8" s="31">
        <v>0</v>
      </c>
      <c r="AB8" s="31">
        <f t="shared" si="0"/>
        <v>87.49027846578392</v>
      </c>
      <c r="AC8" s="31">
        <f t="shared" si="1"/>
        <v>1144.9997215342162</v>
      </c>
      <c r="AD8" s="146">
        <v>300</v>
      </c>
      <c r="AE8" s="146">
        <v>278.41</v>
      </c>
      <c r="AF8" s="135">
        <f aca="true" t="shared" si="9" ref="AF8:AF31">AD8+AE8</f>
        <v>578.4100000000001</v>
      </c>
      <c r="AG8" s="204">
        <f t="shared" si="2"/>
        <v>566.5897215342161</v>
      </c>
      <c r="AH8" s="212" t="s">
        <v>206</v>
      </c>
      <c r="AI8" s="201"/>
      <c r="AJ8" s="243" t="str">
        <f aca="true" t="shared" si="10" ref="AJ8:AJ35">B8</f>
        <v>B</v>
      </c>
      <c r="AK8" s="244">
        <v>2905.1549999999997</v>
      </c>
      <c r="AL8" s="202">
        <v>35.58505600000001</v>
      </c>
      <c r="AM8" s="202">
        <v>0</v>
      </c>
      <c r="AN8" s="202">
        <v>0</v>
      </c>
      <c r="AO8" s="202">
        <v>70.88449926578392</v>
      </c>
      <c r="AP8" s="244">
        <f aca="true" t="shared" si="11" ref="AP8:AP32">SUM(AL8:AO8)</f>
        <v>106.46955526578392</v>
      </c>
      <c r="AQ8" s="244">
        <f aca="true" t="shared" si="12" ref="AQ8:AQ27">AK8-AP8</f>
        <v>2798.6854447342157</v>
      </c>
      <c r="AR8" s="202">
        <f aca="true" t="shared" si="13" ref="AR8:AR34">+AK8-AP8</f>
        <v>2798.6854447342157</v>
      </c>
      <c r="AS8" s="217">
        <f aca="true" t="shared" si="14" ref="AS8:AS34">AC8-AR8</f>
        <v>-1653.6857231999995</v>
      </c>
      <c r="AT8" s="202">
        <f t="shared" si="3"/>
        <v>1144.9997215342162</v>
      </c>
      <c r="AV8" s="202">
        <v>3713.37</v>
      </c>
      <c r="AW8" s="202">
        <f t="shared" si="4"/>
        <v>-1653.6857231999995</v>
      </c>
      <c r="AX8" s="250">
        <f t="shared" si="5"/>
        <v>5367.055723199999</v>
      </c>
      <c r="AZ8" s="133">
        <f>(((G8/8)*2)*9)*2</f>
        <v>792.3149999999999</v>
      </c>
      <c r="BA8" s="38">
        <f>9.03*30</f>
        <v>270.9</v>
      </c>
      <c r="BB8" s="180"/>
    </row>
    <row r="9" spans="1:54" ht="15">
      <c r="A9" s="32" t="s">
        <v>181</v>
      </c>
      <c r="B9" s="225" t="str">
        <f>+modsalario2021!B6</f>
        <v>C</v>
      </c>
      <c r="C9" s="257">
        <f>+modsalario2021!C6</f>
        <v>71088919221</v>
      </c>
      <c r="D9" s="257">
        <f>+modsalario2021!D6</f>
        <v>0</v>
      </c>
      <c r="E9" s="282" t="str">
        <f>+modsalario2021!E6</f>
        <v>GOPA890224584</v>
      </c>
      <c r="F9" s="282" t="str">
        <f>+modsalario2021!F6</f>
        <v>GOPA890224HCSNRL00</v>
      </c>
      <c r="G9" s="31">
        <f>+modsalario2021!I6</f>
        <v>158.025</v>
      </c>
      <c r="H9" s="31">
        <f>+modsalario2021!Q6</f>
        <v>176.579547953007</v>
      </c>
      <c r="I9" s="147">
        <v>0</v>
      </c>
      <c r="J9" s="38">
        <f>(G9*I9)*0.4435</f>
        <v>0</v>
      </c>
      <c r="K9" s="38"/>
      <c r="L9" s="38"/>
      <c r="M9" s="38"/>
      <c r="N9" s="148"/>
      <c r="O9" s="38"/>
      <c r="P9" s="148"/>
      <c r="Q9" s="38"/>
      <c r="R9" s="133"/>
      <c r="S9" s="38"/>
      <c r="T9" s="38">
        <f t="shared" si="7"/>
        <v>0</v>
      </c>
      <c r="U9" s="31">
        <f>+ISRAbril2021!O36</f>
        <v>0</v>
      </c>
      <c r="V9" s="31">
        <f>+ISRAbril2021!P36</f>
        <v>0</v>
      </c>
      <c r="W9" s="31">
        <v>0</v>
      </c>
      <c r="X9" s="31">
        <v>0</v>
      </c>
      <c r="Y9" s="134">
        <f>+'COP TUXTLA'!V9</f>
        <v>63.954905024229724</v>
      </c>
      <c r="Z9" s="31"/>
      <c r="AA9" s="31"/>
      <c r="AB9" s="31">
        <f t="shared" si="0"/>
        <v>63.954905024229724</v>
      </c>
      <c r="AC9" s="31">
        <f t="shared" si="1"/>
        <v>-63.954905024229724</v>
      </c>
      <c r="AD9" s="146">
        <v>0</v>
      </c>
      <c r="AE9" s="146">
        <v>0</v>
      </c>
      <c r="AF9" s="135">
        <f t="shared" si="9"/>
        <v>0</v>
      </c>
      <c r="AG9" s="204">
        <f t="shared" si="2"/>
        <v>-63.954905024229724</v>
      </c>
      <c r="AH9" s="212" t="s">
        <v>206</v>
      </c>
      <c r="AI9" s="201"/>
      <c r="AJ9" s="243" t="str">
        <f t="shared" si="10"/>
        <v>C</v>
      </c>
      <c r="AK9" s="244">
        <v>1261.513575</v>
      </c>
      <c r="AL9" s="202">
        <v>0</v>
      </c>
      <c r="AM9" s="202">
        <v>-134.1657712</v>
      </c>
      <c r="AN9" s="202"/>
      <c r="AO9" s="202">
        <v>63.954905024229724</v>
      </c>
      <c r="AP9" s="244">
        <f t="shared" si="11"/>
        <v>-70.21086617577026</v>
      </c>
      <c r="AQ9" s="244">
        <f t="shared" si="12"/>
        <v>1331.7244411757702</v>
      </c>
      <c r="AR9" s="202">
        <f t="shared" si="13"/>
        <v>1331.7244411757702</v>
      </c>
      <c r="AS9" s="217">
        <f t="shared" si="14"/>
        <v>-1395.6793461999998</v>
      </c>
      <c r="AT9" s="202">
        <f t="shared" si="3"/>
        <v>-63.954905024229674</v>
      </c>
      <c r="AV9" s="202">
        <v>3334.14</v>
      </c>
      <c r="AW9" s="202">
        <f t="shared" si="4"/>
        <v>-1395.6793461999998</v>
      </c>
      <c r="AX9" s="250">
        <f t="shared" si="5"/>
        <v>4729.8193462</v>
      </c>
      <c r="AZ9" s="133">
        <f>(((G9/8)*2)*9)*2</f>
        <v>711.1125000000001</v>
      </c>
      <c r="BA9" s="38">
        <f>9.03*30</f>
        <v>270.9</v>
      </c>
      <c r="BB9" s="180"/>
    </row>
    <row r="10" spans="1:54" ht="15">
      <c r="A10" s="32" t="s">
        <v>181</v>
      </c>
      <c r="B10" s="225" t="str">
        <f>+modsalario2021!B7</f>
        <v>D</v>
      </c>
      <c r="C10" s="257">
        <f>+modsalario2021!C7</f>
        <v>71038419710</v>
      </c>
      <c r="D10" s="257">
        <f>+modsalario2021!D7</f>
        <v>0</v>
      </c>
      <c r="E10" s="282" t="str">
        <f>+modsalario2021!E7</f>
        <v>LOEL840901CQA</v>
      </c>
      <c r="F10" s="282" t="str">
        <f>+modsalario2021!F7</f>
        <v>LOEL840901HCSPSS09</v>
      </c>
      <c r="G10" s="31">
        <f>+modsalario2021!I7</f>
        <v>176.07</v>
      </c>
      <c r="H10" s="31">
        <f>+modsalario2021!Q7</f>
        <v>195.7121636328805</v>
      </c>
      <c r="I10" s="147">
        <v>7</v>
      </c>
      <c r="J10" s="38">
        <f>(G10*I10)</f>
        <v>1232.49</v>
      </c>
      <c r="K10" s="38"/>
      <c r="L10" s="38"/>
      <c r="M10" s="197"/>
      <c r="N10" s="133"/>
      <c r="O10" s="17"/>
      <c r="P10" s="133"/>
      <c r="Q10" s="151"/>
      <c r="R10" s="133"/>
      <c r="S10" s="38"/>
      <c r="T10" s="38">
        <f t="shared" si="7"/>
        <v>1232.49</v>
      </c>
      <c r="U10" s="31">
        <f>+ISRAbril2021!O37</f>
        <v>84.4357792</v>
      </c>
      <c r="V10" s="31">
        <f>+ISRAbril2021!P37</f>
        <v>67.83</v>
      </c>
      <c r="W10" s="31">
        <f t="shared" si="8"/>
        <v>16.6057792</v>
      </c>
      <c r="X10" s="31">
        <v>0</v>
      </c>
      <c r="Y10" s="134">
        <f>+'COP TUXTLA'!V10</f>
        <v>70.88449926578392</v>
      </c>
      <c r="Z10" s="31"/>
      <c r="AA10" s="31"/>
      <c r="AB10" s="31">
        <f t="shared" si="0"/>
        <v>87.49027846578392</v>
      </c>
      <c r="AC10" s="31">
        <f t="shared" si="1"/>
        <v>1144.9997215342162</v>
      </c>
      <c r="AD10" s="146">
        <v>100</v>
      </c>
      <c r="AE10" s="146">
        <v>358.33</v>
      </c>
      <c r="AF10" s="135">
        <f t="shared" si="9"/>
        <v>458.33</v>
      </c>
      <c r="AG10" s="204">
        <f t="shared" si="2"/>
        <v>686.6697215342163</v>
      </c>
      <c r="AH10" s="212" t="s">
        <v>206</v>
      </c>
      <c r="AI10" s="201"/>
      <c r="AJ10" s="243" t="str">
        <f t="shared" si="10"/>
        <v>D</v>
      </c>
      <c r="AK10" s="244">
        <v>2971.1812499999996</v>
      </c>
      <c r="AL10" s="202">
        <v>42.768711999999994</v>
      </c>
      <c r="AM10" s="202">
        <v>0</v>
      </c>
      <c r="AN10" s="202"/>
      <c r="AO10" s="202">
        <v>70.88449926578392</v>
      </c>
      <c r="AP10" s="244">
        <f t="shared" si="11"/>
        <v>113.65321126578391</v>
      </c>
      <c r="AQ10" s="244">
        <f t="shared" si="12"/>
        <v>2857.528038734216</v>
      </c>
      <c r="AR10" s="202">
        <f t="shared" si="13"/>
        <v>2857.528038734216</v>
      </c>
      <c r="AS10" s="217">
        <f t="shared" si="14"/>
        <v>-1712.5283171999997</v>
      </c>
      <c r="AT10" s="202">
        <f t="shared" si="3"/>
        <v>1144.9997215342162</v>
      </c>
      <c r="AV10" s="202">
        <v>6525.86</v>
      </c>
      <c r="AW10" s="202">
        <f t="shared" si="4"/>
        <v>-1712.5283171999997</v>
      </c>
      <c r="AX10" s="250">
        <f t="shared" si="5"/>
        <v>8238.388317199999</v>
      </c>
      <c r="AZ10" s="133">
        <f>(((G10/8)*2)*9)*2</f>
        <v>792.3149999999999</v>
      </c>
      <c r="BA10" s="38">
        <f>9.03*30</f>
        <v>270.9</v>
      </c>
      <c r="BB10" s="180"/>
    </row>
    <row r="11" spans="1:54" ht="15">
      <c r="A11" s="32" t="s">
        <v>181</v>
      </c>
      <c r="B11" s="225" t="str">
        <f>+modsalario2021!B8</f>
        <v>E</v>
      </c>
      <c r="C11" s="257">
        <f>+modsalario2021!C8</f>
        <v>71937835008</v>
      </c>
      <c r="D11" s="257">
        <f>+modsalario2021!D8</f>
        <v>0</v>
      </c>
      <c r="E11" s="282" t="str">
        <f>+modsalario2021!E8</f>
        <v>LAGM780425FZ2</v>
      </c>
      <c r="F11" s="282" t="str">
        <f>+modsalario2021!F8</f>
        <v>LAGM780425HCSRRR05</v>
      </c>
      <c r="G11" s="31">
        <f>+modsalario2021!I8</f>
        <v>162</v>
      </c>
      <c r="H11" s="31">
        <f>+modsalario2021!Q8</f>
        <v>180.57234265382223</v>
      </c>
      <c r="I11" s="147">
        <v>7</v>
      </c>
      <c r="J11" s="38">
        <f t="shared" si="6"/>
        <v>1134</v>
      </c>
      <c r="K11" s="38"/>
      <c r="L11" s="38"/>
      <c r="M11" s="38"/>
      <c r="N11" s="38"/>
      <c r="O11" s="38"/>
      <c r="P11" s="133"/>
      <c r="Q11" s="38"/>
      <c r="R11" s="133"/>
      <c r="S11" s="38"/>
      <c r="T11" s="38">
        <f t="shared" si="7"/>
        <v>1134</v>
      </c>
      <c r="U11" s="31">
        <f>+ISRAbril2021!O38</f>
        <v>84.98641599999996</v>
      </c>
      <c r="V11" s="31">
        <f>+ISRAbril2021!P38</f>
        <v>67.83</v>
      </c>
      <c r="W11" s="31">
        <f t="shared" si="8"/>
        <v>17.156415999999965</v>
      </c>
      <c r="X11" s="31">
        <v>0</v>
      </c>
      <c r="Y11" s="134">
        <f>+'COP TUXTLA'!V11</f>
        <v>65.40104535493124</v>
      </c>
      <c r="Z11" s="31"/>
      <c r="AA11" s="31"/>
      <c r="AB11" s="31">
        <f t="shared" si="0"/>
        <v>82.5574613549312</v>
      </c>
      <c r="AC11" s="31">
        <f t="shared" si="1"/>
        <v>1051.442538645069</v>
      </c>
      <c r="AD11" s="146">
        <v>0</v>
      </c>
      <c r="AE11" s="146">
        <v>544.44</v>
      </c>
      <c r="AF11" s="135">
        <f t="shared" si="9"/>
        <v>544.44</v>
      </c>
      <c r="AG11" s="204">
        <f t="shared" si="2"/>
        <v>507.00253864506885</v>
      </c>
      <c r="AH11" s="212" t="s">
        <v>206</v>
      </c>
      <c r="AI11" s="201"/>
      <c r="AJ11" s="243" t="str">
        <f t="shared" si="10"/>
        <v>E</v>
      </c>
      <c r="AK11" s="244">
        <v>3568.05</v>
      </c>
      <c r="AL11" s="202">
        <v>145.65803200000002</v>
      </c>
      <c r="AM11" s="202">
        <v>0</v>
      </c>
      <c r="AN11" s="202"/>
      <c r="AO11" s="202">
        <v>65.40104535493124</v>
      </c>
      <c r="AP11" s="244">
        <f t="shared" si="11"/>
        <v>211.05907735493128</v>
      </c>
      <c r="AQ11" s="244">
        <f t="shared" si="12"/>
        <v>3356.990922645069</v>
      </c>
      <c r="AR11" s="202">
        <f t="shared" si="13"/>
        <v>3356.990922645069</v>
      </c>
      <c r="AS11" s="217">
        <f t="shared" si="14"/>
        <v>-2305.548384</v>
      </c>
      <c r="AT11" s="202">
        <f t="shared" si="3"/>
        <v>1051.442538645069</v>
      </c>
      <c r="AV11" s="202">
        <v>1250</v>
      </c>
      <c r="AW11" s="202">
        <f t="shared" si="4"/>
        <v>-2305.548384</v>
      </c>
      <c r="AX11" s="250">
        <f>AV11-AW11</f>
        <v>3555.548384</v>
      </c>
      <c r="AZ11" s="133">
        <f>(((G11/8)*2)*9)*2</f>
        <v>729</v>
      </c>
      <c r="BA11" s="38">
        <f>9.03*30</f>
        <v>270.9</v>
      </c>
      <c r="BB11" s="180"/>
    </row>
    <row r="12" spans="1:54" ht="15">
      <c r="A12" s="32" t="s">
        <v>181</v>
      </c>
      <c r="B12" s="225" t="str">
        <f>+modsalario2021!B9</f>
        <v>F</v>
      </c>
      <c r="C12" s="257">
        <f>+modsalario2021!C9</f>
        <v>71927247842</v>
      </c>
      <c r="D12" s="257">
        <f>+modsalario2021!D9</f>
        <v>0</v>
      </c>
      <c r="E12" s="282" t="str">
        <f>+modsalario2021!E9</f>
        <v>VEMG720123848</v>
      </c>
      <c r="F12" s="282" t="str">
        <f>+modsalario2021!F9</f>
        <v>VEMG720123HCSLNL08</v>
      </c>
      <c r="G12" s="31">
        <f>+modsalario2021!I9</f>
        <v>176.07</v>
      </c>
      <c r="H12" s="31">
        <f>+modsalario2021!Q9</f>
        <v>195.71260475270168</v>
      </c>
      <c r="I12" s="147">
        <v>7</v>
      </c>
      <c r="J12" s="38">
        <f t="shared" si="6"/>
        <v>1232.49</v>
      </c>
      <c r="K12" s="38"/>
      <c r="L12" s="38"/>
      <c r="M12" s="38"/>
      <c r="N12" s="133"/>
      <c r="O12" s="133"/>
      <c r="P12" s="133"/>
      <c r="Q12" s="133"/>
      <c r="R12" s="202"/>
      <c r="S12" s="202"/>
      <c r="T12" s="38">
        <f t="shared" si="7"/>
        <v>1232.49</v>
      </c>
      <c r="U12" s="31">
        <f>+ISRAbril2021!O39</f>
        <v>84.4357792</v>
      </c>
      <c r="V12" s="31">
        <f>+ISRAbril2021!P39</f>
        <v>67.83</v>
      </c>
      <c r="W12" s="31">
        <f t="shared" si="8"/>
        <v>16.6057792</v>
      </c>
      <c r="X12" s="31">
        <v>0</v>
      </c>
      <c r="Y12" s="134">
        <f>+'COP TUXTLA'!V12</f>
        <v>70.88465903386913</v>
      </c>
      <c r="Z12" s="31"/>
      <c r="AA12" s="149">
        <v>680</v>
      </c>
      <c r="AB12" s="31">
        <f t="shared" si="0"/>
        <v>767.4904382338691</v>
      </c>
      <c r="AC12" s="31">
        <f t="shared" si="1"/>
        <v>464.9995617661309</v>
      </c>
      <c r="AD12" s="146">
        <v>200</v>
      </c>
      <c r="AE12" s="146">
        <v>0</v>
      </c>
      <c r="AF12" s="135">
        <f t="shared" si="9"/>
        <v>200</v>
      </c>
      <c r="AG12" s="204">
        <f t="shared" si="2"/>
        <v>264.9995617661309</v>
      </c>
      <c r="AH12" s="212" t="s">
        <v>206</v>
      </c>
      <c r="AI12" s="201"/>
      <c r="AJ12" s="243" t="str">
        <f t="shared" si="10"/>
        <v>F</v>
      </c>
      <c r="AK12" s="244">
        <v>3169.2599999999998</v>
      </c>
      <c r="AL12" s="202">
        <v>84.56968</v>
      </c>
      <c r="AM12" s="202">
        <v>0</v>
      </c>
      <c r="AN12" s="202">
        <v>680</v>
      </c>
      <c r="AO12" s="202">
        <v>70.88465903386913</v>
      </c>
      <c r="AP12" s="244">
        <f t="shared" si="11"/>
        <v>835.4543390338692</v>
      </c>
      <c r="AQ12" s="244">
        <f t="shared" si="12"/>
        <v>2333.8056609661307</v>
      </c>
      <c r="AR12" s="202">
        <f t="shared" si="13"/>
        <v>2333.8056609661307</v>
      </c>
      <c r="AS12" s="217">
        <f t="shared" si="14"/>
        <v>-1868.8060991999998</v>
      </c>
      <c r="AT12" s="202">
        <f t="shared" si="3"/>
        <v>464.9995617661309</v>
      </c>
      <c r="AV12" s="202">
        <v>0</v>
      </c>
      <c r="AW12" s="202">
        <f t="shared" si="4"/>
        <v>-1868.8060991999998</v>
      </c>
      <c r="AX12" s="217">
        <f t="shared" si="5"/>
        <v>1868.8060991999998</v>
      </c>
      <c r="AZ12" s="133">
        <f>((G12/8)*2)*12.5</f>
        <v>550.21875</v>
      </c>
      <c r="BA12" s="38">
        <v>0</v>
      </c>
      <c r="BB12" s="180"/>
    </row>
    <row r="13" spans="1:54" ht="15">
      <c r="A13" s="32" t="s">
        <v>181</v>
      </c>
      <c r="B13" s="225" t="str">
        <f>+modsalario2021!B10</f>
        <v>G</v>
      </c>
      <c r="C13" s="257">
        <f>+modsalario2021!C10</f>
        <v>71008312234</v>
      </c>
      <c r="D13" s="257">
        <f>+modsalario2021!D10</f>
        <v>0</v>
      </c>
      <c r="E13" s="282" t="str">
        <f>+modsalario2021!E10</f>
        <v>PEHF830502DJ2</v>
      </c>
      <c r="F13" s="282" t="str">
        <f>+modsalario2021!F10</f>
        <v>PEHF830502HCSRRL04</v>
      </c>
      <c r="G13" s="31">
        <f>+modsalario2021!I10</f>
        <v>176.07</v>
      </c>
      <c r="H13" s="31">
        <f>+modsalario2021!Q10</f>
        <v>195.47097185205857</v>
      </c>
      <c r="I13" s="147">
        <v>7</v>
      </c>
      <c r="J13" s="38">
        <f t="shared" si="6"/>
        <v>1232.49</v>
      </c>
      <c r="K13" s="38"/>
      <c r="L13" s="38"/>
      <c r="M13" s="197"/>
      <c r="N13" s="133"/>
      <c r="O13" s="133"/>
      <c r="P13" s="133"/>
      <c r="Q13" s="133"/>
      <c r="R13" s="133"/>
      <c r="S13" s="38"/>
      <c r="T13" s="38">
        <f t="shared" si="7"/>
        <v>1232.49</v>
      </c>
      <c r="U13" s="31">
        <f>+ISRAbril2021!O40</f>
        <v>84.4357792</v>
      </c>
      <c r="V13" s="31">
        <f>+ISRAbril2021!P40</f>
        <v>67.83</v>
      </c>
      <c r="W13" s="31">
        <f t="shared" si="8"/>
        <v>16.6057792</v>
      </c>
      <c r="X13" s="31">
        <v>0</v>
      </c>
      <c r="Y13" s="134">
        <f>+'COP TUXTLA'!V13</f>
        <v>70.79714261766748</v>
      </c>
      <c r="Z13" s="31">
        <v>0</v>
      </c>
      <c r="AA13" s="151"/>
      <c r="AB13" s="31">
        <f t="shared" si="0"/>
        <v>87.40292181766748</v>
      </c>
      <c r="AC13" s="31">
        <f t="shared" si="1"/>
        <v>1145.0870781823326</v>
      </c>
      <c r="AD13" s="146">
        <v>300</v>
      </c>
      <c r="AE13" s="146">
        <v>0</v>
      </c>
      <c r="AF13" s="135">
        <f t="shared" si="9"/>
        <v>300</v>
      </c>
      <c r="AG13" s="204">
        <f t="shared" si="2"/>
        <v>845.0870781823326</v>
      </c>
      <c r="AH13" s="212" t="s">
        <v>206</v>
      </c>
      <c r="AI13" s="201"/>
      <c r="AJ13" s="243" t="str">
        <f t="shared" si="10"/>
        <v>G</v>
      </c>
      <c r="AK13" s="244">
        <v>3169.2599999999998</v>
      </c>
      <c r="AL13" s="202">
        <v>84.56968</v>
      </c>
      <c r="AM13" s="202">
        <v>0</v>
      </c>
      <c r="AN13" s="202"/>
      <c r="AO13" s="202">
        <v>70.79714261766748</v>
      </c>
      <c r="AP13" s="244">
        <f t="shared" si="11"/>
        <v>155.36682261766748</v>
      </c>
      <c r="AQ13" s="244">
        <f t="shared" si="12"/>
        <v>3013.8931773823324</v>
      </c>
      <c r="AR13" s="202">
        <f t="shared" si="13"/>
        <v>3013.8931773823324</v>
      </c>
      <c r="AS13" s="217">
        <f t="shared" si="14"/>
        <v>-1868.8060991999998</v>
      </c>
      <c r="AT13" s="202">
        <f t="shared" si="3"/>
        <v>1145.0870781823326</v>
      </c>
      <c r="AV13" s="202">
        <v>266</v>
      </c>
      <c r="AW13" s="202">
        <f t="shared" si="4"/>
        <v>-1868.8060991999998</v>
      </c>
      <c r="AX13" s="250">
        <f t="shared" si="5"/>
        <v>2134.8060992</v>
      </c>
      <c r="AZ13" s="133">
        <f>((G13/8)*2)*5.55</f>
        <v>244.297125</v>
      </c>
      <c r="BA13" s="38">
        <v>0</v>
      </c>
      <c r="BB13" s="180"/>
    </row>
    <row r="14" spans="1:54" ht="15">
      <c r="A14" s="32" t="s">
        <v>181</v>
      </c>
      <c r="B14" s="225" t="str">
        <f>+modsalario2021!B11</f>
        <v>H</v>
      </c>
      <c r="C14" s="257">
        <f>+modsalario2021!C11</f>
        <v>75169672997</v>
      </c>
      <c r="D14" s="257">
        <f>+modsalario2021!D11</f>
        <v>0</v>
      </c>
      <c r="E14" s="282" t="str">
        <f>+modsalario2021!E11</f>
        <v>MOCJ960423650</v>
      </c>
      <c r="F14" s="282" t="str">
        <f>+modsalario2021!F11</f>
        <v>MOCJ960423HCSRHM09</v>
      </c>
      <c r="G14" s="204">
        <f>+modsalario2021!I11</f>
        <v>152.42</v>
      </c>
      <c r="H14" s="204">
        <f>+modsalario2021!Q11</f>
        <v>170.4284355201248</v>
      </c>
      <c r="I14" s="147">
        <v>7</v>
      </c>
      <c r="J14" s="38">
        <f t="shared" si="6"/>
        <v>1066.9399999999998</v>
      </c>
      <c r="K14" s="38"/>
      <c r="L14" s="38"/>
      <c r="M14" s="38"/>
      <c r="N14" s="133"/>
      <c r="O14" s="17"/>
      <c r="P14" s="17"/>
      <c r="Q14" s="151"/>
      <c r="R14" s="133"/>
      <c r="S14" s="38"/>
      <c r="T14" s="38">
        <f t="shared" si="7"/>
        <v>1066.9399999999998</v>
      </c>
      <c r="U14" s="31">
        <f>+ISRAbril2021!O41</f>
        <v>68.48433599999998</v>
      </c>
      <c r="V14" s="31">
        <f>+ISRAbril2021!P41</f>
        <v>74.83</v>
      </c>
      <c r="W14" s="31">
        <f t="shared" si="8"/>
        <v>-6.3456640000000135</v>
      </c>
      <c r="X14" s="31">
        <v>0</v>
      </c>
      <c r="Y14" s="134">
        <f>+'COP TUXTLA'!V14</f>
        <v>61.7270489899452</v>
      </c>
      <c r="Z14" s="31"/>
      <c r="AB14" s="31">
        <f t="shared" si="0"/>
        <v>55.38138498994519</v>
      </c>
      <c r="AC14" s="31">
        <f t="shared" si="1"/>
        <v>1011.5586150100546</v>
      </c>
      <c r="AD14" s="146">
        <v>250</v>
      </c>
      <c r="AE14" s="146">
        <v>418</v>
      </c>
      <c r="AF14" s="135">
        <f t="shared" si="9"/>
        <v>668</v>
      </c>
      <c r="AG14" s="204">
        <f t="shared" si="2"/>
        <v>343.5586150100546</v>
      </c>
      <c r="AH14" s="213" t="s">
        <v>206</v>
      </c>
      <c r="AI14" s="201"/>
      <c r="AJ14" s="243" t="str">
        <f t="shared" si="10"/>
        <v>H</v>
      </c>
      <c r="AK14" s="244">
        <v>2629.245</v>
      </c>
      <c r="AL14" s="202">
        <v>0</v>
      </c>
      <c r="AM14" s="202">
        <v>-6.280959999999993</v>
      </c>
      <c r="AN14" s="202"/>
      <c r="AO14" s="202">
        <v>61.7270489899452</v>
      </c>
      <c r="AP14" s="244">
        <f t="shared" si="11"/>
        <v>55.44608898994521</v>
      </c>
      <c r="AQ14" s="244">
        <f t="shared" si="12"/>
        <v>2573.798911010055</v>
      </c>
      <c r="AR14" s="202">
        <f t="shared" si="13"/>
        <v>2573.798911010055</v>
      </c>
      <c r="AS14" s="217">
        <f t="shared" si="14"/>
        <v>-1562.2402960000002</v>
      </c>
      <c r="AT14" s="202">
        <f t="shared" si="3"/>
        <v>1011.5586150100546</v>
      </c>
      <c r="AV14" s="202">
        <v>2796.8</v>
      </c>
      <c r="AW14" s="202">
        <f t="shared" si="4"/>
        <v>-1562.2402960000002</v>
      </c>
      <c r="AX14" s="250">
        <f t="shared" si="5"/>
        <v>4359.040296</v>
      </c>
      <c r="AZ14" s="133">
        <f>(((G14/8)*2)*9)*2</f>
        <v>685.89</v>
      </c>
      <c r="BA14" s="38">
        <f>9.03*30</f>
        <v>270.9</v>
      </c>
      <c r="BB14" s="180"/>
    </row>
    <row r="15" spans="1:54" ht="15">
      <c r="A15" s="32" t="s">
        <v>181</v>
      </c>
      <c r="B15" s="225" t="str">
        <f>+modsalario2021!B12</f>
        <v>I</v>
      </c>
      <c r="C15" s="257">
        <f>+modsalario2021!C12</f>
        <v>71927733593</v>
      </c>
      <c r="D15" s="257">
        <f>+modsalario2021!D12</f>
        <v>0</v>
      </c>
      <c r="E15" s="282" t="str">
        <f>+modsalario2021!E12</f>
        <v>OAGM770905RZ9</v>
      </c>
      <c r="F15" s="282" t="str">
        <f>+modsalario2021!F12</f>
        <v>OAGM770905HCSRMS02</v>
      </c>
      <c r="G15" s="31">
        <f>+modsalario2021!I12</f>
        <v>176.07</v>
      </c>
      <c r="H15" s="31">
        <f>+modsalario2021!Q12</f>
        <v>194.7476712328767</v>
      </c>
      <c r="I15" s="147">
        <v>7</v>
      </c>
      <c r="J15" s="38">
        <f t="shared" si="6"/>
        <v>1232.49</v>
      </c>
      <c r="K15" s="38"/>
      <c r="L15" s="38"/>
      <c r="M15" s="197"/>
      <c r="N15" s="133"/>
      <c r="O15" s="17"/>
      <c r="P15" s="17"/>
      <c r="Q15" s="151"/>
      <c r="R15" s="133"/>
      <c r="S15" s="38"/>
      <c r="T15" s="38">
        <f t="shared" si="7"/>
        <v>1232.49</v>
      </c>
      <c r="U15" s="31">
        <f>+ISRAbril2021!O42</f>
        <v>84.4357792</v>
      </c>
      <c r="V15" s="31">
        <f>+ISRAbril2021!P42</f>
        <v>67.83</v>
      </c>
      <c r="W15" s="31">
        <f t="shared" si="8"/>
        <v>16.6057792</v>
      </c>
      <c r="X15" s="31">
        <v>0</v>
      </c>
      <c r="Y15" s="134">
        <f>+'COP TUXTLA'!V15</f>
        <v>70.53517217465753</v>
      </c>
      <c r="Z15" s="31"/>
      <c r="AA15" s="135">
        <v>0</v>
      </c>
      <c r="AB15" s="31">
        <f t="shared" si="0"/>
        <v>87.14095137465753</v>
      </c>
      <c r="AC15" s="31">
        <f t="shared" si="1"/>
        <v>1145.3490486253424</v>
      </c>
      <c r="AD15" s="146">
        <v>150</v>
      </c>
      <c r="AE15" s="146">
        <v>692.39</v>
      </c>
      <c r="AF15" s="135">
        <f t="shared" si="9"/>
        <v>842.39</v>
      </c>
      <c r="AG15" s="204">
        <f t="shared" si="2"/>
        <v>302.95904862534246</v>
      </c>
      <c r="AH15" s="212" t="s">
        <v>199</v>
      </c>
      <c r="AI15" s="201"/>
      <c r="AJ15" s="243" t="str">
        <f t="shared" si="10"/>
        <v>I</v>
      </c>
      <c r="AK15" s="244">
        <v>3169.2599999999998</v>
      </c>
      <c r="AL15" s="202">
        <v>84.56968</v>
      </c>
      <c r="AM15" s="202">
        <v>0</v>
      </c>
      <c r="AN15" s="202">
        <v>0</v>
      </c>
      <c r="AO15" s="202">
        <v>70.53517217465753</v>
      </c>
      <c r="AP15" s="244">
        <f t="shared" si="11"/>
        <v>155.10485217465754</v>
      </c>
      <c r="AQ15" s="244">
        <f t="shared" si="12"/>
        <v>3014.1551478253423</v>
      </c>
      <c r="AR15" s="202">
        <f t="shared" si="13"/>
        <v>3014.1551478253423</v>
      </c>
      <c r="AS15" s="217">
        <f t="shared" si="14"/>
        <v>-1868.8060991999998</v>
      </c>
      <c r="AT15" s="202">
        <f t="shared" si="3"/>
        <v>1145.3490486253424</v>
      </c>
      <c r="AV15" s="202">
        <v>2162.14</v>
      </c>
      <c r="AW15" s="202">
        <f t="shared" si="4"/>
        <v>-1868.8060991999998</v>
      </c>
      <c r="AX15" s="250">
        <f t="shared" si="5"/>
        <v>4030.9460991999995</v>
      </c>
      <c r="AZ15" s="133">
        <f>(((G15/8)*2)*9)*2</f>
        <v>792.3149999999999</v>
      </c>
      <c r="BA15" s="38">
        <f>9.03*30</f>
        <v>270.9</v>
      </c>
      <c r="BB15" s="180"/>
    </row>
    <row r="16" spans="1:54" ht="15">
      <c r="A16" s="32" t="s">
        <v>181</v>
      </c>
      <c r="B16" s="225" t="str">
        <f>+modsalario2021!B13</f>
        <v>J</v>
      </c>
      <c r="C16" s="284">
        <f>+modsalario2021!C13</f>
        <v>71108817504</v>
      </c>
      <c r="D16" s="257">
        <f>+modsalario2021!D13</f>
        <v>0</v>
      </c>
      <c r="E16" s="282" t="str">
        <f>+modsalario2021!E13</f>
        <v>GORE881124</v>
      </c>
      <c r="F16" s="282" t="str">
        <f>+modsalario2021!F13</f>
        <v>GORE881124HCSMDM02</v>
      </c>
      <c r="G16" s="31">
        <f>+modsalario2021!I13</f>
        <v>176.07</v>
      </c>
      <c r="H16" s="31">
        <f>+modsalario2021!Q13</f>
        <v>194.98886301369862</v>
      </c>
      <c r="I16" s="147">
        <v>7</v>
      </c>
      <c r="J16" s="38">
        <f t="shared" si="6"/>
        <v>1232.49</v>
      </c>
      <c r="K16" s="38"/>
      <c r="L16" s="38"/>
      <c r="M16" s="197"/>
      <c r="N16" s="133"/>
      <c r="O16" s="133"/>
      <c r="P16" s="133"/>
      <c r="Q16" s="133"/>
      <c r="R16" s="133"/>
      <c r="S16" s="38"/>
      <c r="T16" s="38">
        <f t="shared" si="7"/>
        <v>1232.49</v>
      </c>
      <c r="U16" s="31">
        <f>+ISRAbril2021!O43</f>
        <v>84.4357792</v>
      </c>
      <c r="V16" s="31">
        <f>+ISRAbril2021!P43</f>
        <v>67.83</v>
      </c>
      <c r="W16" s="31">
        <f t="shared" si="8"/>
        <v>16.6057792</v>
      </c>
      <c r="X16" s="31">
        <v>0</v>
      </c>
      <c r="Y16" s="134">
        <f>+'COP TUXTLA'!V16</f>
        <v>70.62252882277397</v>
      </c>
      <c r="Z16" s="31"/>
      <c r="AA16" s="31"/>
      <c r="AB16" s="31">
        <f t="shared" si="0"/>
        <v>87.22830802277397</v>
      </c>
      <c r="AC16" s="31">
        <f>T16-AB16</f>
        <v>1145.261691977226</v>
      </c>
      <c r="AD16" s="146">
        <v>200</v>
      </c>
      <c r="AE16" s="146">
        <v>193.42</v>
      </c>
      <c r="AF16" s="135">
        <f t="shared" si="9"/>
        <v>393.41999999999996</v>
      </c>
      <c r="AG16" s="204">
        <f t="shared" si="2"/>
        <v>751.8416919772261</v>
      </c>
      <c r="AH16" s="212" t="s">
        <v>206</v>
      </c>
      <c r="AI16" s="201"/>
      <c r="AJ16" s="243" t="str">
        <f t="shared" si="10"/>
        <v>J</v>
      </c>
      <c r="AK16" s="244">
        <v>3169.2599999999998</v>
      </c>
      <c r="AL16" s="202">
        <v>84.56968</v>
      </c>
      <c r="AM16" s="202">
        <v>0</v>
      </c>
      <c r="AN16" s="202"/>
      <c r="AO16" s="202">
        <v>70.62252882277397</v>
      </c>
      <c r="AP16" s="244">
        <f t="shared" si="11"/>
        <v>155.19220882277398</v>
      </c>
      <c r="AQ16" s="244">
        <f t="shared" si="12"/>
        <v>3014.067791177226</v>
      </c>
      <c r="AR16" s="202">
        <f t="shared" si="13"/>
        <v>3014.067791177226</v>
      </c>
      <c r="AS16" s="217">
        <f t="shared" si="14"/>
        <v>-1868.8060991999998</v>
      </c>
      <c r="AT16" s="202">
        <f t="shared" si="3"/>
        <v>1145.261691977226</v>
      </c>
      <c r="AV16" s="202">
        <v>1162.14</v>
      </c>
      <c r="AW16" s="202">
        <f t="shared" si="4"/>
        <v>-1868.8060991999998</v>
      </c>
      <c r="AX16" s="250">
        <f t="shared" si="5"/>
        <v>3030.9460992</v>
      </c>
      <c r="AZ16" s="133">
        <f>(((G16/8)*2)*9)*2</f>
        <v>792.3149999999999</v>
      </c>
      <c r="BA16" s="38">
        <f>9.03*30</f>
        <v>270.9</v>
      </c>
      <c r="BB16" s="180"/>
    </row>
    <row r="17" spans="1:54" ht="15">
      <c r="A17" s="32" t="s">
        <v>181</v>
      </c>
      <c r="B17" s="225" t="str">
        <f>+modsalario2021!B14</f>
        <v>K</v>
      </c>
      <c r="C17" s="284" t="str">
        <f>+modsalario2021!C14</f>
        <v>02188940387</v>
      </c>
      <c r="D17" s="257">
        <f>+modsalario2021!D14</f>
        <v>0</v>
      </c>
      <c r="E17" s="282" t="str">
        <f>+modsalario2021!E14</f>
        <v>PARS8910063DA</v>
      </c>
      <c r="F17" s="282" t="str">
        <f>+modsalario2021!F14</f>
        <v>PARS891006MCSRDT08</v>
      </c>
      <c r="G17" s="31">
        <f>+modsalario2021!I14</f>
        <v>283</v>
      </c>
      <c r="H17" s="31">
        <f>+modsalario2021!Q14</f>
        <v>307.9242339737279</v>
      </c>
      <c r="I17" s="147">
        <v>7</v>
      </c>
      <c r="J17" s="38">
        <f t="shared" si="6"/>
        <v>1981</v>
      </c>
      <c r="K17" s="38"/>
      <c r="L17" s="38"/>
      <c r="M17" s="197"/>
      <c r="N17" s="38"/>
      <c r="O17" s="38"/>
      <c r="P17" s="38"/>
      <c r="Q17" s="38"/>
      <c r="R17" s="133"/>
      <c r="S17" s="38"/>
      <c r="T17" s="38">
        <f t="shared" si="7"/>
        <v>1981</v>
      </c>
      <c r="U17" s="31">
        <f>+ISRAbril2021!O44</f>
        <v>174.01745599999998</v>
      </c>
      <c r="V17" s="31">
        <f>+ISRAbril2021!P44</f>
        <v>0</v>
      </c>
      <c r="W17" s="31">
        <f t="shared" si="8"/>
        <v>174.01745599999998</v>
      </c>
      <c r="X17" s="31">
        <v>0</v>
      </c>
      <c r="Y17" s="134">
        <f>+'COP TUXTLA'!V17</f>
        <v>114.40118991796223</v>
      </c>
      <c r="Z17" s="31"/>
      <c r="AB17" s="31">
        <f t="shared" si="0"/>
        <v>288.4186459179622</v>
      </c>
      <c r="AC17" s="31">
        <f t="shared" si="1"/>
        <v>1692.5813540820377</v>
      </c>
      <c r="AD17" s="146">
        <v>500</v>
      </c>
      <c r="AE17" s="146">
        <v>0</v>
      </c>
      <c r="AF17" s="135">
        <f t="shared" si="9"/>
        <v>500</v>
      </c>
      <c r="AG17" s="204">
        <f t="shared" si="2"/>
        <v>1192.5813540820377</v>
      </c>
      <c r="AH17" s="212" t="s">
        <v>206</v>
      </c>
      <c r="AI17" s="201"/>
      <c r="AJ17" s="243" t="str">
        <f t="shared" si="10"/>
        <v>K</v>
      </c>
      <c r="AK17" s="244">
        <v>5094</v>
      </c>
      <c r="AL17" s="202">
        <v>436.9903999999999</v>
      </c>
      <c r="AM17" s="202">
        <v>0</v>
      </c>
      <c r="AN17" s="202"/>
      <c r="AO17" s="202">
        <v>114.40118991796223</v>
      </c>
      <c r="AP17" s="244">
        <f t="shared" si="11"/>
        <v>551.3915899179622</v>
      </c>
      <c r="AQ17" s="244">
        <f t="shared" si="12"/>
        <v>4542.608410082038</v>
      </c>
      <c r="AR17" s="202">
        <f t="shared" si="13"/>
        <v>4542.608410082038</v>
      </c>
      <c r="AS17" s="217">
        <f t="shared" si="14"/>
        <v>-2850.0270560000004</v>
      </c>
      <c r="AT17" s="202">
        <f t="shared" si="3"/>
        <v>1692.5813540820377</v>
      </c>
      <c r="AV17" s="202">
        <v>712.31</v>
      </c>
      <c r="AW17" s="202">
        <f t="shared" si="4"/>
        <v>-2850.0270560000004</v>
      </c>
      <c r="AX17" s="250">
        <f t="shared" si="5"/>
        <v>3562.3370560000003</v>
      </c>
      <c r="AZ17" s="133">
        <f>(((G17/8)*2)*9)*2</f>
        <v>1273.5</v>
      </c>
      <c r="BA17" s="38">
        <f>9.03*30</f>
        <v>270.9</v>
      </c>
      <c r="BB17" s="180"/>
    </row>
    <row r="18" spans="1:54" ht="15">
      <c r="A18" s="32" t="s">
        <v>181</v>
      </c>
      <c r="B18" s="225" t="str">
        <f>+modsalario2021!B15</f>
        <v>L </v>
      </c>
      <c r="C18" s="284" t="str">
        <f>+modsalario2021!C15</f>
        <v>03189637725</v>
      </c>
      <c r="D18" s="257">
        <f>+modsalario2021!D15</f>
        <v>0</v>
      </c>
      <c r="E18" s="282" t="str">
        <f>+modsalario2021!E15</f>
        <v>VENO9606281XA</v>
      </c>
      <c r="F18" s="282" t="str">
        <f>+modsalario2021!F15</f>
        <v>VENO96062HCSLMS07</v>
      </c>
      <c r="G18" s="31">
        <f>+modsalario2021!I15</f>
        <v>176.07</v>
      </c>
      <c r="H18" s="31">
        <f>+modsalario2021!Q15</f>
        <v>194.98886301369862</v>
      </c>
      <c r="I18" s="147">
        <v>7</v>
      </c>
      <c r="J18" s="38">
        <f t="shared" si="6"/>
        <v>1232.49</v>
      </c>
      <c r="K18" s="38"/>
      <c r="L18" s="38"/>
      <c r="M18" s="197"/>
      <c r="N18" s="133"/>
      <c r="O18" s="133"/>
      <c r="P18" s="133"/>
      <c r="Q18" s="133"/>
      <c r="R18" s="133"/>
      <c r="S18" s="38"/>
      <c r="T18" s="38">
        <f t="shared" si="7"/>
        <v>1232.49</v>
      </c>
      <c r="U18" s="31">
        <f>+ISRAbril2021!O45</f>
        <v>84.4357792</v>
      </c>
      <c r="V18" s="31">
        <f>+ISRAbril2021!P45</f>
        <v>67.83</v>
      </c>
      <c r="W18" s="31">
        <f t="shared" si="8"/>
        <v>16.6057792</v>
      </c>
      <c r="X18" s="31">
        <v>0</v>
      </c>
      <c r="Y18" s="134">
        <f>+'COP TUXTLA'!V19</f>
        <v>70.62252882277397</v>
      </c>
      <c r="Z18" s="31"/>
      <c r="AA18" s="135"/>
      <c r="AB18" s="31">
        <f t="shared" si="0"/>
        <v>87.22830802277397</v>
      </c>
      <c r="AC18" s="31">
        <f>T18-AB18</f>
        <v>1145.261691977226</v>
      </c>
      <c r="AD18" s="146">
        <v>200</v>
      </c>
      <c r="AE18" s="146">
        <v>0</v>
      </c>
      <c r="AF18" s="135">
        <f t="shared" si="9"/>
        <v>200</v>
      </c>
      <c r="AG18" s="204">
        <f>AC18-AF18</f>
        <v>945.2616919772261</v>
      </c>
      <c r="AH18" s="212" t="s">
        <v>206</v>
      </c>
      <c r="AI18" s="201"/>
      <c r="AJ18" s="243" t="str">
        <f t="shared" si="10"/>
        <v>L </v>
      </c>
      <c r="AK18" s="244">
        <v>3169.2599999999998</v>
      </c>
      <c r="AL18" s="202">
        <v>84.56968</v>
      </c>
      <c r="AM18" s="202">
        <v>0</v>
      </c>
      <c r="AN18" s="202"/>
      <c r="AO18" s="202">
        <v>70.62252882277397</v>
      </c>
      <c r="AP18" s="244">
        <f t="shared" si="11"/>
        <v>155.19220882277398</v>
      </c>
      <c r="AQ18" s="244">
        <f t="shared" si="12"/>
        <v>3014.067791177226</v>
      </c>
      <c r="AR18" s="202">
        <f t="shared" si="13"/>
        <v>3014.067791177226</v>
      </c>
      <c r="AS18" s="217">
        <f t="shared" si="14"/>
        <v>-1868.8060991999998</v>
      </c>
      <c r="AT18" s="202">
        <f t="shared" si="3"/>
        <v>1145.261691977226</v>
      </c>
      <c r="AV18" s="202">
        <v>1858.35</v>
      </c>
      <c r="AW18" s="202">
        <f t="shared" si="4"/>
        <v>-1868.8060991999998</v>
      </c>
      <c r="AX18" s="250">
        <f t="shared" si="5"/>
        <v>3727.1560991999995</v>
      </c>
      <c r="AZ18" s="133">
        <f>((G18/8)*2)*12.75</f>
        <v>561.223125</v>
      </c>
      <c r="BA18" s="38">
        <v>0</v>
      </c>
      <c r="BB18" s="180"/>
    </row>
    <row r="19" spans="1:54" ht="15">
      <c r="A19" s="32" t="s">
        <v>181</v>
      </c>
      <c r="B19" s="225" t="str">
        <f>+modsalario2021!B16</f>
        <v>LL</v>
      </c>
      <c r="C19" s="284">
        <f>+modsalario2021!C16</f>
        <v>71027901744</v>
      </c>
      <c r="D19" s="257">
        <f>+modsalario2021!D16</f>
        <v>0</v>
      </c>
      <c r="E19" s="282" t="str">
        <f>+modsalario2021!E16</f>
        <v>GOFC791202AV7</v>
      </c>
      <c r="F19" s="282" t="str">
        <f>+modsalario2021!F16</f>
        <v>GOFC791202MCSMLL09</v>
      </c>
      <c r="G19" s="31">
        <f>+modsalario2021!I16</f>
        <v>152.42</v>
      </c>
      <c r="H19" s="31">
        <f>+modsalario2021!Q16</f>
        <v>170.0107193883578</v>
      </c>
      <c r="I19" s="147">
        <v>7</v>
      </c>
      <c r="J19" s="38">
        <f t="shared" si="6"/>
        <v>1066.9399999999998</v>
      </c>
      <c r="K19" s="38"/>
      <c r="L19" s="38"/>
      <c r="M19" s="197"/>
      <c r="N19" s="38"/>
      <c r="O19" s="38"/>
      <c r="P19" s="133"/>
      <c r="Q19" s="133"/>
      <c r="R19" s="133"/>
      <c r="S19" s="38"/>
      <c r="T19" s="38">
        <f t="shared" si="7"/>
        <v>1066.9399999999998</v>
      </c>
      <c r="U19" s="31">
        <f>+ISRAbril2021!O46</f>
        <v>128.07491519999996</v>
      </c>
      <c r="V19" s="31">
        <f>+ISRAbril2021!P46</f>
        <v>0</v>
      </c>
      <c r="W19" s="31">
        <f t="shared" si="8"/>
        <v>128.07491519999996</v>
      </c>
      <c r="X19" s="31">
        <v>0</v>
      </c>
      <c r="Y19" s="134">
        <f>+'COP TUXTLA'!V20</f>
        <v>61.575757428470844</v>
      </c>
      <c r="Z19" s="31">
        <v>0</v>
      </c>
      <c r="AA19" s="135"/>
      <c r="AB19" s="31">
        <f t="shared" si="0"/>
        <v>189.6506726284708</v>
      </c>
      <c r="AC19" s="31">
        <f>T19-AB19</f>
        <v>877.289327371529</v>
      </c>
      <c r="AD19" s="146">
        <v>300</v>
      </c>
      <c r="AE19" s="146">
        <v>0</v>
      </c>
      <c r="AF19" s="135">
        <f t="shared" si="9"/>
        <v>300</v>
      </c>
      <c r="AG19" s="204">
        <f>AC19-AF19</f>
        <v>577.289327371529</v>
      </c>
      <c r="AH19" s="212" t="s">
        <v>206</v>
      </c>
      <c r="AI19" s="201"/>
      <c r="AJ19" s="243" t="str">
        <f t="shared" si="10"/>
        <v>LL</v>
      </c>
      <c r="AK19" s="244">
        <v>3143.8559999999998</v>
      </c>
      <c r="AL19" s="202">
        <v>81.80572480000001</v>
      </c>
      <c r="AM19" s="202">
        <v>0</v>
      </c>
      <c r="AN19" s="202"/>
      <c r="AO19" s="202">
        <v>61.575757428470844</v>
      </c>
      <c r="AP19" s="244">
        <f t="shared" si="11"/>
        <v>143.38148222847084</v>
      </c>
      <c r="AQ19" s="244">
        <f t="shared" si="12"/>
        <v>3000.474517771529</v>
      </c>
      <c r="AR19" s="202">
        <f t="shared" si="13"/>
        <v>3000.474517771529</v>
      </c>
      <c r="AS19" s="217">
        <f t="shared" si="14"/>
        <v>-2123.1851904</v>
      </c>
      <c r="AT19" s="202">
        <f t="shared" si="3"/>
        <v>877.289327371529</v>
      </c>
      <c r="AV19" s="202">
        <v>712.31</v>
      </c>
      <c r="AW19" s="202">
        <f t="shared" si="4"/>
        <v>-2123.1851904</v>
      </c>
      <c r="AX19" s="250">
        <f t="shared" si="5"/>
        <v>2835.4951904</v>
      </c>
      <c r="AZ19" s="133">
        <f aca="true" t="shared" si="15" ref="AZ19:AZ24">(((G19/8)*2)*9)*2</f>
        <v>685.89</v>
      </c>
      <c r="BA19" s="38">
        <f aca="true" t="shared" si="16" ref="BA19:BA24">9.03*30</f>
        <v>270.9</v>
      </c>
      <c r="BB19" s="180"/>
    </row>
    <row r="20" spans="1:54" ht="15">
      <c r="A20" s="32" t="s">
        <v>181</v>
      </c>
      <c r="B20" s="225" t="str">
        <f>+modsalario2021!B17</f>
        <v>M</v>
      </c>
      <c r="C20" s="284">
        <f>+modsalario2021!C17</f>
        <v>71109015314</v>
      </c>
      <c r="D20" s="257">
        <f>+modsalario2021!D17</f>
        <v>0</v>
      </c>
      <c r="E20" s="282" t="str">
        <f>+modsalario2021!E17</f>
        <v>PEDN900323</v>
      </c>
      <c r="F20" s="282" t="str">
        <f>+modsalario2021!F17</f>
        <v>PEDN900323HCSRMS06</v>
      </c>
      <c r="G20" s="204">
        <f>+modsalario2021!I17</f>
        <v>152.42</v>
      </c>
      <c r="H20" s="204">
        <f>+modsalario2021!Q17</f>
        <v>170.01043767196674</v>
      </c>
      <c r="I20" s="147">
        <v>7</v>
      </c>
      <c r="J20" s="38">
        <f t="shared" si="6"/>
        <v>1066.9399999999998</v>
      </c>
      <c r="K20" s="38"/>
      <c r="L20" s="38"/>
      <c r="M20" s="197"/>
      <c r="N20" s="133"/>
      <c r="O20" s="133"/>
      <c r="P20" s="17"/>
      <c r="Q20" s="151"/>
      <c r="R20" s="202"/>
      <c r="S20" s="202"/>
      <c r="T20" s="38">
        <f t="shared" si="7"/>
        <v>1066.9399999999998</v>
      </c>
      <c r="U20" s="31">
        <f>+ISRAbril2021!O47</f>
        <v>68.48433599999998</v>
      </c>
      <c r="V20" s="31">
        <f>+ISRAbril2021!P47</f>
        <v>74.83</v>
      </c>
      <c r="W20" s="31">
        <f t="shared" si="8"/>
        <v>-6.3456640000000135</v>
      </c>
      <c r="X20" s="31">
        <v>0</v>
      </c>
      <c r="Y20" s="134">
        <f>+'COP TUXTLA'!V21</f>
        <v>61.57565539431545</v>
      </c>
      <c r="Z20" s="31"/>
      <c r="AA20" s="135"/>
      <c r="AB20" s="31">
        <f t="shared" si="0"/>
        <v>55.229991394315434</v>
      </c>
      <c r="AC20" s="31">
        <f>T20-AB20</f>
        <v>1011.7100086056844</v>
      </c>
      <c r="AD20" s="146">
        <v>300</v>
      </c>
      <c r="AE20" s="146">
        <v>0</v>
      </c>
      <c r="AF20" s="135">
        <f t="shared" si="9"/>
        <v>300</v>
      </c>
      <c r="AG20" s="204">
        <f>AC20-AF20</f>
        <v>711.7100086056844</v>
      </c>
      <c r="AH20" s="212" t="s">
        <v>206</v>
      </c>
      <c r="AI20" s="201"/>
      <c r="AJ20" s="243" t="str">
        <f t="shared" si="10"/>
        <v>M</v>
      </c>
      <c r="AK20" s="244">
        <v>2743.56</v>
      </c>
      <c r="AL20" s="202">
        <v>18.003520000000037</v>
      </c>
      <c r="AM20" s="202">
        <v>0</v>
      </c>
      <c r="AN20" s="202"/>
      <c r="AO20" s="202">
        <v>61.57565539431545</v>
      </c>
      <c r="AP20" s="244">
        <f t="shared" si="11"/>
        <v>79.57917539431548</v>
      </c>
      <c r="AQ20" s="244">
        <f t="shared" si="12"/>
        <v>2663.9808246056846</v>
      </c>
      <c r="AR20" s="202">
        <f t="shared" si="13"/>
        <v>2663.9808246056846</v>
      </c>
      <c r="AS20" s="217">
        <f t="shared" si="14"/>
        <v>-1652.2708160000002</v>
      </c>
      <c r="AT20" s="202">
        <f t="shared" si="3"/>
        <v>1011.7100086056844</v>
      </c>
      <c r="AV20" s="202">
        <v>0</v>
      </c>
      <c r="AW20" s="202">
        <f t="shared" si="4"/>
        <v>-1652.2708160000002</v>
      </c>
      <c r="AX20" s="217">
        <f t="shared" si="5"/>
        <v>1652.2708160000002</v>
      </c>
      <c r="AZ20" s="133">
        <f t="shared" si="15"/>
        <v>685.89</v>
      </c>
      <c r="BA20" s="38">
        <f t="shared" si="16"/>
        <v>270.9</v>
      </c>
      <c r="BB20" s="180"/>
    </row>
    <row r="21" spans="1:54" ht="15">
      <c r="A21" s="32" t="s">
        <v>181</v>
      </c>
      <c r="B21" s="225" t="str">
        <f>+modsalario2021!B18</f>
        <v>N</v>
      </c>
      <c r="C21" s="284">
        <f>+modsalario2021!C18</f>
        <v>10149124587</v>
      </c>
      <c r="D21" s="257">
        <f>+modsalario2021!D18</f>
        <v>0</v>
      </c>
      <c r="E21" s="282" t="str">
        <f>+modsalario2021!E18</f>
        <v>CUVC911128NT3</v>
      </c>
      <c r="F21" s="282" t="str">
        <f>+modsalario2021!F18</f>
        <v>CUVC911128MCSRRR01</v>
      </c>
      <c r="G21" s="31">
        <f>+modsalario2021!I18</f>
        <v>152.42</v>
      </c>
      <c r="H21" s="31">
        <f>+modsalario2021!Q18</f>
        <v>169.8017808219178</v>
      </c>
      <c r="I21" s="147">
        <v>7</v>
      </c>
      <c r="J21" s="38">
        <f t="shared" si="6"/>
        <v>1066.9399999999998</v>
      </c>
      <c r="K21" s="38"/>
      <c r="L21" s="38"/>
      <c r="M21" s="197"/>
      <c r="N21" s="196"/>
      <c r="O21" s="38"/>
      <c r="P21" s="196"/>
      <c r="Q21" s="196"/>
      <c r="R21" s="133"/>
      <c r="S21" s="38"/>
      <c r="T21" s="38">
        <f t="shared" si="7"/>
        <v>1066.9399999999998</v>
      </c>
      <c r="U21" s="31">
        <f>+ISRAbril2021!O48</f>
        <v>68.484336</v>
      </c>
      <c r="V21" s="31">
        <f>+ISRAbril2021!P48</f>
        <v>74.83</v>
      </c>
      <c r="W21" s="31">
        <f t="shared" si="8"/>
        <v>-6.345663999999999</v>
      </c>
      <c r="X21" s="31">
        <v>0</v>
      </c>
      <c r="Y21" s="134">
        <f>+'COP TUXTLA'!V22</f>
        <v>61.50008249143835</v>
      </c>
      <c r="Z21" s="195"/>
      <c r="AA21" s="195">
        <v>0</v>
      </c>
      <c r="AB21" s="31">
        <f t="shared" si="0"/>
        <v>55.15441849143835</v>
      </c>
      <c r="AC21" s="195">
        <f t="shared" si="1"/>
        <v>1011.7855815085614</v>
      </c>
      <c r="AD21" s="146">
        <v>0</v>
      </c>
      <c r="AE21" s="146">
        <v>0</v>
      </c>
      <c r="AF21" s="135">
        <f t="shared" si="9"/>
        <v>0</v>
      </c>
      <c r="AG21" s="218">
        <f t="shared" si="2"/>
        <v>1011.7855815085614</v>
      </c>
      <c r="AH21" s="213" t="s">
        <v>199</v>
      </c>
      <c r="AI21" s="201"/>
      <c r="AJ21" s="243" t="str">
        <f t="shared" si="10"/>
        <v>N</v>
      </c>
      <c r="AK21" s="244">
        <v>3383.7239999999997</v>
      </c>
      <c r="AL21" s="202">
        <v>107.9033632</v>
      </c>
      <c r="AM21" s="202">
        <v>0</v>
      </c>
      <c r="AN21" s="202">
        <v>0</v>
      </c>
      <c r="AO21" s="202">
        <v>61.50008249143835</v>
      </c>
      <c r="AP21" s="244">
        <f t="shared" si="11"/>
        <v>169.40344569143835</v>
      </c>
      <c r="AQ21" s="244">
        <f t="shared" si="12"/>
        <v>3214.3205543085614</v>
      </c>
      <c r="AR21" s="202">
        <f t="shared" si="13"/>
        <v>3214.3205543085614</v>
      </c>
      <c r="AS21" s="217">
        <f t="shared" si="14"/>
        <v>-2202.5349728</v>
      </c>
      <c r="AT21" s="202">
        <f t="shared" si="3"/>
        <v>1011.7855815085613</v>
      </c>
      <c r="AV21" s="202">
        <v>1591.44</v>
      </c>
      <c r="AW21" s="202">
        <f t="shared" si="4"/>
        <v>-2202.5349728</v>
      </c>
      <c r="AX21" s="250">
        <f t="shared" si="5"/>
        <v>3793.9749728</v>
      </c>
      <c r="AZ21" s="133">
        <f t="shared" si="15"/>
        <v>685.89</v>
      </c>
      <c r="BA21" s="38">
        <f t="shared" si="16"/>
        <v>270.9</v>
      </c>
      <c r="BB21" s="180"/>
    </row>
    <row r="22" spans="1:54" ht="15">
      <c r="A22" s="32" t="s">
        <v>181</v>
      </c>
      <c r="B22" s="225" t="str">
        <f>+modsalario2021!B19</f>
        <v>Ñ</v>
      </c>
      <c r="C22" s="284">
        <f>+modsalario2021!C19</f>
        <v>0</v>
      </c>
      <c r="D22" s="257">
        <f>+modsalario2021!D19</f>
        <v>0</v>
      </c>
      <c r="E22" s="282">
        <f>+modsalario2021!E19</f>
        <v>0</v>
      </c>
      <c r="F22" s="282">
        <f>+modsalario2021!F19</f>
        <v>0</v>
      </c>
      <c r="G22" s="204">
        <f>+modsalario2021!I19</f>
        <v>152.42</v>
      </c>
      <c r="H22" s="204">
        <f>+modsalario2021!Q19</f>
        <v>169.8017808219178</v>
      </c>
      <c r="I22" s="147">
        <v>7</v>
      </c>
      <c r="J22" s="38">
        <f t="shared" si="6"/>
        <v>1066.9399999999998</v>
      </c>
      <c r="K22" s="38"/>
      <c r="L22" s="38"/>
      <c r="M22" s="197"/>
      <c r="N22" s="38"/>
      <c r="O22" s="38"/>
      <c r="P22" s="38"/>
      <c r="Q22" s="38"/>
      <c r="R22" s="133"/>
      <c r="S22" s="38"/>
      <c r="T22" s="38">
        <f t="shared" si="7"/>
        <v>1066.9399999999998</v>
      </c>
      <c r="U22" s="31">
        <f>+ISRAbril2021!O49</f>
        <v>68.48433599999998</v>
      </c>
      <c r="V22" s="31">
        <f>+ISRAbril2021!P49</f>
        <v>74.83</v>
      </c>
      <c r="W22" s="31">
        <f t="shared" si="8"/>
        <v>-6.3456640000000135</v>
      </c>
      <c r="X22" s="31">
        <v>0</v>
      </c>
      <c r="Y22" s="134">
        <f>+'COP TUXTLA'!V23</f>
        <v>61.50008249143835</v>
      </c>
      <c r="Z22" s="195"/>
      <c r="AA22" s="195"/>
      <c r="AB22" s="31">
        <f t="shared" si="0"/>
        <v>55.154418491438335</v>
      </c>
      <c r="AC22" s="195">
        <f t="shared" si="1"/>
        <v>1011.7855815085614</v>
      </c>
      <c r="AD22" s="146">
        <v>300</v>
      </c>
      <c r="AE22" s="146">
        <v>0</v>
      </c>
      <c r="AF22" s="135">
        <f t="shared" si="9"/>
        <v>300</v>
      </c>
      <c r="AG22" s="218">
        <f t="shared" si="2"/>
        <v>711.7855815085614</v>
      </c>
      <c r="AH22" s="213" t="s">
        <v>199</v>
      </c>
      <c r="AI22" s="201"/>
      <c r="AJ22" s="243" t="str">
        <f t="shared" si="10"/>
        <v>Ñ</v>
      </c>
      <c r="AK22" s="244">
        <v>2789.2859999999996</v>
      </c>
      <c r="AL22" s="202">
        <v>22.978508799999986</v>
      </c>
      <c r="AM22" s="202">
        <v>0</v>
      </c>
      <c r="AN22" s="202"/>
      <c r="AO22" s="202">
        <v>61.50008249143835</v>
      </c>
      <c r="AP22" s="244">
        <f t="shared" si="11"/>
        <v>84.47859129143833</v>
      </c>
      <c r="AQ22" s="244">
        <f t="shared" si="12"/>
        <v>2704.807408708561</v>
      </c>
      <c r="AR22" s="202">
        <f t="shared" si="13"/>
        <v>2704.807408708561</v>
      </c>
      <c r="AS22" s="217">
        <f t="shared" si="14"/>
        <v>-1693.0218271999997</v>
      </c>
      <c r="AT22" s="202">
        <f t="shared" si="3"/>
        <v>1011.7855815085613</v>
      </c>
      <c r="AV22" s="202">
        <v>2406.04</v>
      </c>
      <c r="AW22" s="202">
        <f t="shared" si="4"/>
        <v>-1693.0218271999997</v>
      </c>
      <c r="AX22" s="250">
        <f t="shared" si="5"/>
        <v>4099.061827199999</v>
      </c>
      <c r="AZ22" s="133">
        <f t="shared" si="15"/>
        <v>685.89</v>
      </c>
      <c r="BA22" s="38">
        <f t="shared" si="16"/>
        <v>270.9</v>
      </c>
      <c r="BB22" s="180"/>
    </row>
    <row r="23" spans="1:54" ht="15">
      <c r="A23" s="32" t="s">
        <v>181</v>
      </c>
      <c r="B23" s="225" t="str">
        <f>+modsalario2021!B20</f>
        <v>O</v>
      </c>
      <c r="C23" s="284" t="str">
        <f>+modsalario2021!C20</f>
        <v>04199721145</v>
      </c>
      <c r="D23" s="257">
        <f>+modsalario2021!D20</f>
        <v>0</v>
      </c>
      <c r="E23" s="282" t="str">
        <f>+modsalario2021!E20</f>
        <v>VACD971205EPA</v>
      </c>
      <c r="F23" s="282" t="str">
        <f>+modsalario2021!F20</f>
        <v>VACD971205MCSZHN26</v>
      </c>
      <c r="G23" s="204">
        <f>+modsalario2021!I20</f>
        <v>176.07</v>
      </c>
      <c r="H23" s="204">
        <f>+modsalario2021!Q20</f>
        <v>194.7476712328767</v>
      </c>
      <c r="I23" s="147">
        <v>7</v>
      </c>
      <c r="J23" s="38">
        <f t="shared" si="6"/>
        <v>1232.49</v>
      </c>
      <c r="K23" s="38"/>
      <c r="L23" s="38"/>
      <c r="M23" s="197"/>
      <c r="N23" s="38"/>
      <c r="O23" s="38"/>
      <c r="P23" s="38"/>
      <c r="Q23" s="38"/>
      <c r="R23" s="133"/>
      <c r="S23" s="38"/>
      <c r="T23" s="38">
        <f t="shared" si="7"/>
        <v>1232.49</v>
      </c>
      <c r="U23" s="31">
        <f>+ISRAbril2021!O50</f>
        <v>84.4357792</v>
      </c>
      <c r="V23" s="31">
        <f>+ISRAbril2021!P50</f>
        <v>67.83</v>
      </c>
      <c r="W23" s="31">
        <f t="shared" si="8"/>
        <v>16.6057792</v>
      </c>
      <c r="X23" s="31">
        <v>0</v>
      </c>
      <c r="Y23" s="134">
        <f>+'COP TUXTLA'!V24</f>
        <v>70.53517217465753</v>
      </c>
      <c r="Z23" s="31"/>
      <c r="AA23" s="146"/>
      <c r="AB23" s="31">
        <f t="shared" si="0"/>
        <v>87.14095137465753</v>
      </c>
      <c r="AC23" s="31">
        <f>T23-AB23</f>
        <v>1145.3490486253424</v>
      </c>
      <c r="AD23" s="146">
        <v>250</v>
      </c>
      <c r="AE23" s="146">
        <v>288.24</v>
      </c>
      <c r="AF23" s="135">
        <f t="shared" si="9"/>
        <v>538.24</v>
      </c>
      <c r="AG23" s="204">
        <f t="shared" si="2"/>
        <v>607.1090486253424</v>
      </c>
      <c r="AH23" s="212" t="s">
        <v>206</v>
      </c>
      <c r="AI23" s="201"/>
      <c r="AJ23" s="243" t="str">
        <f t="shared" si="10"/>
        <v>O</v>
      </c>
      <c r="AK23" s="245">
        <v>3274.902</v>
      </c>
      <c r="AL23" s="202">
        <v>96.06352960000004</v>
      </c>
      <c r="AM23" s="202">
        <v>0</v>
      </c>
      <c r="AN23" s="202"/>
      <c r="AO23" s="202">
        <v>70.53517217465753</v>
      </c>
      <c r="AP23" s="244">
        <f t="shared" si="11"/>
        <v>166.59870177465757</v>
      </c>
      <c r="AQ23" s="244">
        <f t="shared" si="12"/>
        <v>3108.3032982253426</v>
      </c>
      <c r="AR23" s="202">
        <f t="shared" si="13"/>
        <v>3108.3032982253426</v>
      </c>
      <c r="AS23" s="217">
        <f t="shared" si="14"/>
        <v>-1962.9542496000001</v>
      </c>
      <c r="AT23" s="202">
        <f t="shared" si="3"/>
        <v>1145.3490486253424</v>
      </c>
      <c r="AV23" s="202">
        <v>1043.4</v>
      </c>
      <c r="AW23" s="202">
        <f t="shared" si="4"/>
        <v>-1962.9542496000001</v>
      </c>
      <c r="AX23" s="250">
        <f t="shared" si="5"/>
        <v>3006.3542496</v>
      </c>
      <c r="AZ23" s="133">
        <f t="shared" si="15"/>
        <v>792.3149999999999</v>
      </c>
      <c r="BA23" s="38">
        <f t="shared" si="16"/>
        <v>270.9</v>
      </c>
      <c r="BB23" s="180"/>
    </row>
    <row r="24" spans="1:54" s="214" customFormat="1" ht="15">
      <c r="A24" s="32" t="s">
        <v>181</v>
      </c>
      <c r="B24" s="225" t="str">
        <f>+modsalario2021!B21</f>
        <v>P </v>
      </c>
      <c r="C24" s="277" t="str">
        <f>+modsalario2021!C21</f>
        <v>05210394523</v>
      </c>
      <c r="D24" s="277">
        <f>+modsalario2021!D21</f>
        <v>0</v>
      </c>
      <c r="E24" s="277" t="str">
        <f>+modsalario2021!E21</f>
        <v>CUNJ030108</v>
      </c>
      <c r="F24" s="277" t="str">
        <f>+modsalario2021!F21</f>
        <v>CUNJ030108HCSRTVA2</v>
      </c>
      <c r="G24" s="204">
        <f>+modsalario2021!I21</f>
        <v>142.5</v>
      </c>
      <c r="H24" s="204">
        <f>+modsalario2021!Q21</f>
        <v>159.14301369863014</v>
      </c>
      <c r="I24" s="147">
        <v>7</v>
      </c>
      <c r="J24" s="221">
        <f t="shared" si="6"/>
        <v>997.5</v>
      </c>
      <c r="K24" s="38"/>
      <c r="L24" s="38"/>
      <c r="M24" s="197"/>
      <c r="N24" s="221"/>
      <c r="O24" s="221"/>
      <c r="P24" s="221"/>
      <c r="Q24" s="221"/>
      <c r="R24" s="202"/>
      <c r="S24" s="202"/>
      <c r="T24" s="38">
        <f t="shared" si="7"/>
        <v>997.5</v>
      </c>
      <c r="U24" s="204">
        <f>+ISRAbril2021!O51</f>
        <v>63.59576</v>
      </c>
      <c r="V24" s="204">
        <f>+ISRAbril2021!P51</f>
        <v>74.83</v>
      </c>
      <c r="W24" s="31">
        <v>0</v>
      </c>
      <c r="X24" s="31">
        <f>U24-V24</f>
        <v>-11.23424</v>
      </c>
      <c r="Y24" s="134">
        <f>+'COP TUXTLA'!V25</f>
        <v>57.63961027397261</v>
      </c>
      <c r="Z24" s="204"/>
      <c r="AA24" s="210"/>
      <c r="AB24" s="204">
        <f t="shared" si="0"/>
        <v>46.40537027397261</v>
      </c>
      <c r="AC24" s="204">
        <f>T24-AB24</f>
        <v>951.0946297260274</v>
      </c>
      <c r="AD24" s="146">
        <v>300</v>
      </c>
      <c r="AE24" s="146">
        <v>91.88</v>
      </c>
      <c r="AF24" s="223">
        <f t="shared" si="9"/>
        <v>391.88</v>
      </c>
      <c r="AG24" s="218">
        <f t="shared" si="2"/>
        <v>559.2146297260274</v>
      </c>
      <c r="AH24" s="213" t="s">
        <v>245</v>
      </c>
      <c r="AI24" s="231"/>
      <c r="AJ24" s="243" t="str">
        <f t="shared" si="10"/>
        <v>P </v>
      </c>
      <c r="AK24" s="244">
        <v>2340.5625</v>
      </c>
      <c r="AL24" s="217">
        <v>0</v>
      </c>
      <c r="AM24" s="217">
        <v>-24.756639999999976</v>
      </c>
      <c r="AN24" s="217">
        <v>0</v>
      </c>
      <c r="AO24" s="217">
        <v>57.63961027397261</v>
      </c>
      <c r="AP24" s="244">
        <f t="shared" si="11"/>
        <v>32.88297027397263</v>
      </c>
      <c r="AQ24" s="244">
        <f t="shared" si="12"/>
        <v>2307.6795297260273</v>
      </c>
      <c r="AR24" s="202">
        <f t="shared" si="13"/>
        <v>2307.6795297260273</v>
      </c>
      <c r="AS24" s="217">
        <f t="shared" si="14"/>
        <v>-1356.5848999999998</v>
      </c>
      <c r="AT24" s="202">
        <f t="shared" si="3"/>
        <v>951.0946297260275</v>
      </c>
      <c r="AV24" s="202">
        <v>0</v>
      </c>
      <c r="AW24" s="217">
        <f t="shared" si="4"/>
        <v>-1356.5848999999998</v>
      </c>
      <c r="AX24" s="217">
        <f t="shared" si="5"/>
        <v>1356.5848999999998</v>
      </c>
      <c r="AZ24" s="133">
        <f t="shared" si="15"/>
        <v>641.25</v>
      </c>
      <c r="BA24" s="38">
        <f t="shared" si="16"/>
        <v>270.9</v>
      </c>
      <c r="BB24" s="235"/>
    </row>
    <row r="25" spans="1:54" ht="15">
      <c r="A25" s="32" t="s">
        <v>181</v>
      </c>
      <c r="B25" s="225" t="str">
        <f>+modsalario2021!B22</f>
        <v>Q</v>
      </c>
      <c r="C25" s="284" t="str">
        <f>+modsalario2021!C22</f>
        <v>0218809848</v>
      </c>
      <c r="D25" s="257">
        <f>+modsalario2021!D22</f>
        <v>0</v>
      </c>
      <c r="E25" s="282" t="str">
        <f>+modsalario2021!E22</f>
        <v>LOVE881118LG2</v>
      </c>
      <c r="F25" s="282" t="str">
        <f>+modsalario2021!F22</f>
        <v>LOVE881118HCSPZR02</v>
      </c>
      <c r="G25" s="204">
        <f>+modsalario2021!I22</f>
        <v>152.42</v>
      </c>
      <c r="H25" s="204">
        <f>+modsalario2021!Q22</f>
        <v>169.8017808219178</v>
      </c>
      <c r="I25" s="147">
        <v>7</v>
      </c>
      <c r="J25" s="38">
        <f>G25*I25</f>
        <v>1066.9399999999998</v>
      </c>
      <c r="K25" s="38"/>
      <c r="L25" s="38"/>
      <c r="M25" s="197"/>
      <c r="N25" s="38"/>
      <c r="O25" s="38"/>
      <c r="P25" s="38"/>
      <c r="Q25" s="38"/>
      <c r="R25" s="133"/>
      <c r="S25" s="38"/>
      <c r="T25" s="38">
        <f t="shared" si="7"/>
        <v>1066.9399999999998</v>
      </c>
      <c r="U25" s="31">
        <f>+ISRAbril2021!O52</f>
        <v>68.48433599999998</v>
      </c>
      <c r="V25" s="31">
        <f>+ISRAbril2021!P52</f>
        <v>74.83</v>
      </c>
      <c r="W25" s="31">
        <f t="shared" si="8"/>
        <v>-6.3456640000000135</v>
      </c>
      <c r="X25" s="31">
        <v>0</v>
      </c>
      <c r="Y25" s="134">
        <f>+'COP TUXTLA'!V26</f>
        <v>61.50008249143835</v>
      </c>
      <c r="Z25" s="31"/>
      <c r="AA25" s="146"/>
      <c r="AB25" s="204">
        <f t="shared" si="0"/>
        <v>55.154418491438335</v>
      </c>
      <c r="AC25" s="31">
        <f>T25-AB25</f>
        <v>1011.7855815085614</v>
      </c>
      <c r="AD25" s="146">
        <v>0</v>
      </c>
      <c r="AE25" s="146">
        <v>0</v>
      </c>
      <c r="AF25" s="135">
        <f t="shared" si="9"/>
        <v>0</v>
      </c>
      <c r="AG25" s="204">
        <f t="shared" si="2"/>
        <v>1011.7855815085614</v>
      </c>
      <c r="AH25" s="59" t="s">
        <v>199</v>
      </c>
      <c r="AI25" s="201"/>
      <c r="AJ25" s="243" t="str">
        <f t="shared" si="10"/>
        <v>Q</v>
      </c>
      <c r="AK25" s="245">
        <v>2560.6559999999995</v>
      </c>
      <c r="AL25" s="202">
        <v>0</v>
      </c>
      <c r="AM25" s="202">
        <v>-10.670656000000008</v>
      </c>
      <c r="AN25" s="202"/>
      <c r="AO25" s="202">
        <v>61.50008249143835</v>
      </c>
      <c r="AP25" s="244">
        <f t="shared" si="11"/>
        <v>50.82942649143834</v>
      </c>
      <c r="AQ25" s="244">
        <f t="shared" si="12"/>
        <v>2509.826573508561</v>
      </c>
      <c r="AR25" s="202">
        <f t="shared" si="13"/>
        <v>2509.826573508561</v>
      </c>
      <c r="AS25" s="217">
        <f t="shared" si="14"/>
        <v>-1498.0409919999997</v>
      </c>
      <c r="AT25" s="202">
        <f t="shared" si="3"/>
        <v>1011.7855815085613</v>
      </c>
      <c r="AV25" s="202">
        <v>1043.4</v>
      </c>
      <c r="AW25" s="217">
        <f t="shared" si="4"/>
        <v>-1498.0409919999997</v>
      </c>
      <c r="AX25" s="250">
        <f t="shared" si="5"/>
        <v>2541.440992</v>
      </c>
      <c r="AZ25" s="133">
        <f>((G25/8)*2)*17.2</f>
        <v>655.406</v>
      </c>
      <c r="BA25" s="38">
        <v>0</v>
      </c>
      <c r="BB25" s="180"/>
    </row>
    <row r="26" spans="1:54" s="214" customFormat="1" ht="15">
      <c r="A26" s="32" t="s">
        <v>181</v>
      </c>
      <c r="B26" s="225" t="str">
        <f>+modsalario2021!B25</f>
        <v>T</v>
      </c>
      <c r="C26" s="267" t="str">
        <f>+modsalario2021!C25</f>
        <v>71139446869</v>
      </c>
      <c r="D26" s="277">
        <f>+modsalario2021!D25</f>
        <v>0</v>
      </c>
      <c r="E26" s="277" t="str">
        <f>+modsalario2021!E25</f>
        <v>HEFJ9411283W3</v>
      </c>
      <c r="F26" s="277" t="str">
        <f>+modsalario2021!F25</f>
        <v>HEFJ941128HCSRRR08</v>
      </c>
      <c r="G26" s="204">
        <f>+modsalario2021!I25</f>
        <v>142.5</v>
      </c>
      <c r="H26" s="204">
        <f>modsalario2021!Q25</f>
        <v>159.14301369863014</v>
      </c>
      <c r="I26" s="147">
        <v>7</v>
      </c>
      <c r="J26" s="221">
        <f t="shared" si="6"/>
        <v>997.5</v>
      </c>
      <c r="K26" s="38"/>
      <c r="L26" s="38"/>
      <c r="M26" s="197"/>
      <c r="N26" s="221"/>
      <c r="O26" s="221"/>
      <c r="P26" s="221"/>
      <c r="Q26" s="221"/>
      <c r="R26" s="133"/>
      <c r="S26" s="38"/>
      <c r="T26" s="38">
        <f t="shared" si="7"/>
        <v>997.5</v>
      </c>
      <c r="U26" s="204">
        <f>+ISRAbril2021!O53</f>
        <v>63.59576</v>
      </c>
      <c r="V26" s="204">
        <f>+ISRAbril2021!P53</f>
        <v>74.83</v>
      </c>
      <c r="W26" s="31">
        <f t="shared" si="8"/>
        <v>-11.23424</v>
      </c>
      <c r="X26" s="31">
        <v>0</v>
      </c>
      <c r="Y26" s="222">
        <f>+'COP TUXTLA'!V27</f>
        <v>57.63961027397261</v>
      </c>
      <c r="Z26" s="204"/>
      <c r="AA26" s="210"/>
      <c r="AB26" s="204">
        <f t="shared" si="0"/>
        <v>46.40537027397261</v>
      </c>
      <c r="AC26" s="204">
        <f>T26-AB26</f>
        <v>951.0946297260274</v>
      </c>
      <c r="AD26" s="146">
        <v>0</v>
      </c>
      <c r="AE26" s="146">
        <v>0</v>
      </c>
      <c r="AF26" s="135">
        <f t="shared" si="9"/>
        <v>0</v>
      </c>
      <c r="AG26" s="204">
        <f t="shared" si="2"/>
        <v>951.0946297260274</v>
      </c>
      <c r="AH26" s="59" t="s">
        <v>199</v>
      </c>
      <c r="AI26" s="231"/>
      <c r="AJ26" s="243" t="str">
        <f t="shared" si="10"/>
        <v>T</v>
      </c>
      <c r="AK26" s="244">
        <v>2565</v>
      </c>
      <c r="AL26" s="217">
        <v>0</v>
      </c>
      <c r="AM26" s="217">
        <v>-10.39264</v>
      </c>
      <c r="AN26" s="217"/>
      <c r="AO26" s="217">
        <v>57.63961027397261</v>
      </c>
      <c r="AP26" s="244">
        <f t="shared" si="11"/>
        <v>47.24697027397261</v>
      </c>
      <c r="AQ26" s="244">
        <f t="shared" si="12"/>
        <v>2517.7530297260273</v>
      </c>
      <c r="AR26" s="202">
        <f t="shared" si="13"/>
        <v>2517.7530297260273</v>
      </c>
      <c r="AS26" s="217">
        <f t="shared" si="14"/>
        <v>-1566.6583999999998</v>
      </c>
      <c r="AT26" s="202">
        <f t="shared" si="3"/>
        <v>951.0946297260275</v>
      </c>
      <c r="AV26" s="202">
        <v>712.31</v>
      </c>
      <c r="AW26" s="217">
        <f t="shared" si="4"/>
        <v>-1566.6583999999998</v>
      </c>
      <c r="AX26" s="250">
        <f t="shared" si="5"/>
        <v>2278.9683999999997</v>
      </c>
      <c r="AZ26" s="133">
        <f>(((G26/8)*2)*9)*2</f>
        <v>641.25</v>
      </c>
      <c r="BA26" s="38">
        <f>9.03*30</f>
        <v>270.9</v>
      </c>
      <c r="BB26" s="235"/>
    </row>
    <row r="27" spans="1:54" s="159" customFormat="1" ht="15">
      <c r="A27" s="32" t="s">
        <v>181</v>
      </c>
      <c r="B27" s="225" t="str">
        <f>+modsalario2021!B26</f>
        <v>U</v>
      </c>
      <c r="C27" s="267" t="str">
        <f>+modsalario2021!C26</f>
        <v>68159698767</v>
      </c>
      <c r="D27" s="277">
        <f>+modsalario2021!D26</f>
        <v>0</v>
      </c>
      <c r="E27" s="277" t="str">
        <f>+modsalario2021!E26</f>
        <v>RUAB960920383</v>
      </c>
      <c r="F27" s="277" t="str">
        <f>+modsalario2021!F26</f>
        <v>RUAB960920MVZDRL08</v>
      </c>
      <c r="G27" s="204">
        <f>+modsalario2021!I26</f>
        <v>176.07</v>
      </c>
      <c r="H27" s="204">
        <f>+modsalario2021!Q26</f>
        <v>194.50647945205478</v>
      </c>
      <c r="I27" s="147">
        <v>7</v>
      </c>
      <c r="J27" s="38">
        <f t="shared" si="6"/>
        <v>1232.49</v>
      </c>
      <c r="K27" s="38"/>
      <c r="L27" s="38"/>
      <c r="M27" s="197"/>
      <c r="N27" s="38"/>
      <c r="O27" s="38"/>
      <c r="P27" s="148"/>
      <c r="Q27" s="38"/>
      <c r="R27" s="202"/>
      <c r="S27" s="202"/>
      <c r="T27" s="38">
        <f t="shared" si="7"/>
        <v>1232.49</v>
      </c>
      <c r="U27" s="31">
        <f>+ISRAbril2021!O54</f>
        <v>84.4357792</v>
      </c>
      <c r="V27" s="31">
        <f>+ISRAbril2021!P54</f>
        <v>67.83</v>
      </c>
      <c r="W27" s="31">
        <f t="shared" si="8"/>
        <v>16.6057792</v>
      </c>
      <c r="X27" s="31">
        <v>0</v>
      </c>
      <c r="Y27" s="222">
        <v>50.58</v>
      </c>
      <c r="Z27" s="31">
        <v>0</v>
      </c>
      <c r="AA27" s="146"/>
      <c r="AB27" s="204">
        <f t="shared" si="0"/>
        <v>67.1857792</v>
      </c>
      <c r="AC27" s="31">
        <f>T27-AB27</f>
        <v>1165.3042208</v>
      </c>
      <c r="AD27" s="146">
        <v>200</v>
      </c>
      <c r="AE27" s="146">
        <v>193.42</v>
      </c>
      <c r="AF27" s="135">
        <f t="shared" si="9"/>
        <v>393.41999999999996</v>
      </c>
      <c r="AG27" s="218">
        <f aca="true" t="shared" si="17" ref="AG27:AG34">AC27-AF27</f>
        <v>771.8842208</v>
      </c>
      <c r="AH27" s="59" t="s">
        <v>199</v>
      </c>
      <c r="AI27" s="230"/>
      <c r="AJ27" s="243" t="str">
        <f t="shared" si="10"/>
        <v>U</v>
      </c>
      <c r="AK27" s="244">
        <v>3169.2599999999998</v>
      </c>
      <c r="AL27" s="202">
        <v>84.56968</v>
      </c>
      <c r="AM27" s="202">
        <v>0</v>
      </c>
      <c r="AN27" s="202"/>
      <c r="AO27" s="202">
        <v>50.58</v>
      </c>
      <c r="AP27" s="244">
        <f t="shared" si="11"/>
        <v>135.14968</v>
      </c>
      <c r="AQ27" s="244">
        <f t="shared" si="12"/>
        <v>3034.11032</v>
      </c>
      <c r="AR27" s="202">
        <f t="shared" si="13"/>
        <v>3034.11032</v>
      </c>
      <c r="AS27" s="217">
        <f t="shared" si="14"/>
        <v>-1868.8060991999998</v>
      </c>
      <c r="AT27" s="202">
        <f t="shared" si="3"/>
        <v>1165.3042208</v>
      </c>
      <c r="AV27" s="202">
        <v>0</v>
      </c>
      <c r="AW27" s="217">
        <f t="shared" si="4"/>
        <v>-1868.8060991999998</v>
      </c>
      <c r="AX27" s="217">
        <f t="shared" si="5"/>
        <v>1868.8060991999998</v>
      </c>
      <c r="AZ27" s="133">
        <v>0</v>
      </c>
      <c r="BA27" s="38">
        <v>0</v>
      </c>
      <c r="BB27" s="180"/>
    </row>
    <row r="28" spans="1:54" s="159" customFormat="1" ht="15">
      <c r="A28" s="32" t="s">
        <v>181</v>
      </c>
      <c r="B28" s="225" t="str">
        <f>+modsalario2021!B24</f>
        <v>S</v>
      </c>
      <c r="C28" s="257">
        <f>+modsalario2021!C24</f>
        <v>2199448990</v>
      </c>
      <c r="D28" s="257">
        <f>+modsalario2021!D24</f>
        <v>0</v>
      </c>
      <c r="E28" s="282" t="str">
        <f>+modsalario2021!E24</f>
        <v>PEAC9410032Z0</v>
      </c>
      <c r="F28" s="282" t="str">
        <f>+modsalario2021!F24</f>
        <v>PEAC941003MCSRVN06</v>
      </c>
      <c r="G28" s="204">
        <f>+modsalario2021!I24</f>
        <v>152.42</v>
      </c>
      <c r="H28" s="204">
        <f>+modsalario2021!Q24</f>
        <v>169.59298630136985</v>
      </c>
      <c r="I28" s="147">
        <v>7</v>
      </c>
      <c r="J28" s="38">
        <f aca="true" t="shared" si="18" ref="J28:J34">G28*I28</f>
        <v>1066.9399999999998</v>
      </c>
      <c r="K28" s="38"/>
      <c r="L28" s="38"/>
      <c r="M28" s="197"/>
      <c r="N28" s="38"/>
      <c r="O28" s="38"/>
      <c r="P28" s="38"/>
      <c r="Q28" s="38"/>
      <c r="R28" s="202"/>
      <c r="S28" s="202"/>
      <c r="T28" s="38">
        <f aca="true" t="shared" si="19" ref="T28:T34">SUM(J28:S28)</f>
        <v>1066.9399999999998</v>
      </c>
      <c r="U28" s="31">
        <f>+ISRAbril2021!O55</f>
        <v>68.48433599999998</v>
      </c>
      <c r="V28" s="31">
        <f>+ISRAbril2021!P55</f>
        <v>74.83</v>
      </c>
      <c r="W28" s="31">
        <f t="shared" si="8"/>
        <v>-6.3456640000000135</v>
      </c>
      <c r="X28" s="31">
        <v>0</v>
      </c>
      <c r="Y28" s="134">
        <f>+'COP TUXTLA'!V32</f>
        <v>61.42445972602739</v>
      </c>
      <c r="Z28" s="31"/>
      <c r="AA28" s="146"/>
      <c r="AB28" s="204">
        <f t="shared" si="0"/>
        <v>55.07879572602738</v>
      </c>
      <c r="AC28" s="31">
        <f aca="true" t="shared" si="20" ref="AC28:AC34">T28-AB28</f>
        <v>1011.8612042739725</v>
      </c>
      <c r="AD28" s="146"/>
      <c r="AE28" s="146">
        <v>0</v>
      </c>
      <c r="AF28" s="135">
        <f t="shared" si="9"/>
        <v>0</v>
      </c>
      <c r="AG28" s="218">
        <f t="shared" si="17"/>
        <v>1011.8612042739725</v>
      </c>
      <c r="AH28" s="212" t="s">
        <v>199</v>
      </c>
      <c r="AI28" s="201"/>
      <c r="AJ28" s="243" t="str">
        <f t="shared" si="10"/>
        <v>S</v>
      </c>
      <c r="AK28" s="244">
        <v>2743.56</v>
      </c>
      <c r="AL28" s="202">
        <v>18.003520000000037</v>
      </c>
      <c r="AM28" s="202">
        <v>0</v>
      </c>
      <c r="AN28" s="202"/>
      <c r="AO28" s="202">
        <v>61.42445972602739</v>
      </c>
      <c r="AP28" s="244">
        <f t="shared" si="11"/>
        <v>79.42797972602743</v>
      </c>
      <c r="AQ28" s="244">
        <f aca="true" t="shared" si="21" ref="AQ28:AQ34">AK28-AP28</f>
        <v>2664.1320202739726</v>
      </c>
      <c r="AR28" s="202">
        <f t="shared" si="13"/>
        <v>2664.1320202739726</v>
      </c>
      <c r="AS28" s="217">
        <f t="shared" si="14"/>
        <v>-1652.2708160000002</v>
      </c>
      <c r="AT28" s="202">
        <f t="shared" si="3"/>
        <v>1011.8612042739724</v>
      </c>
      <c r="AV28" s="202">
        <v>114</v>
      </c>
      <c r="AW28" s="217">
        <f aca="true" t="shared" si="22" ref="AW28:AW33">+AS28</f>
        <v>-1652.2708160000002</v>
      </c>
      <c r="AX28" s="250">
        <f t="shared" si="5"/>
        <v>1766.2708160000002</v>
      </c>
      <c r="AZ28" s="133"/>
      <c r="BA28" s="38"/>
      <c r="BB28" s="180"/>
    </row>
    <row r="29" spans="1:54" s="159" customFormat="1" ht="15">
      <c r="A29" s="32" t="s">
        <v>181</v>
      </c>
      <c r="B29" s="225" t="str">
        <f>+modsalario2021!B28</f>
        <v>X</v>
      </c>
      <c r="C29" s="257"/>
      <c r="D29" s="257"/>
      <c r="E29" s="282"/>
      <c r="F29" s="282"/>
      <c r="G29" s="204">
        <f>+modsalario2021!I28</f>
        <v>142.5</v>
      </c>
      <c r="H29" s="204">
        <f>+modsalario2021!Q28</f>
        <v>159.14301369863014</v>
      </c>
      <c r="I29" s="147">
        <v>7</v>
      </c>
      <c r="J29" s="38">
        <f t="shared" si="18"/>
        <v>997.5</v>
      </c>
      <c r="K29" s="38"/>
      <c r="L29" s="38"/>
      <c r="M29" s="197"/>
      <c r="N29" s="38"/>
      <c r="O29" s="38"/>
      <c r="P29" s="38"/>
      <c r="Q29" s="38"/>
      <c r="R29" s="202"/>
      <c r="S29" s="202"/>
      <c r="T29" s="38">
        <f t="shared" si="19"/>
        <v>997.5</v>
      </c>
      <c r="U29" s="31">
        <f>+ISRAbril2021!O56</f>
        <v>63.59576</v>
      </c>
      <c r="V29" s="31">
        <f>+ISRAbril2021!P56</f>
        <v>74.83</v>
      </c>
      <c r="W29" s="31">
        <v>0</v>
      </c>
      <c r="X29" s="31">
        <f aca="true" t="shared" si="23" ref="X29:X34">U29-V29</f>
        <v>-11.23424</v>
      </c>
      <c r="Y29" s="134">
        <f>+'COP TUXTLA'!V33</f>
        <v>57.63961027397261</v>
      </c>
      <c r="Z29" s="31"/>
      <c r="AA29" s="146"/>
      <c r="AB29" s="204">
        <f t="shared" si="0"/>
        <v>46.40537027397261</v>
      </c>
      <c r="AC29" s="31">
        <f t="shared" si="20"/>
        <v>951.0946297260274</v>
      </c>
      <c r="AD29" s="146"/>
      <c r="AE29" s="146"/>
      <c r="AF29" s="135">
        <f t="shared" si="9"/>
        <v>0</v>
      </c>
      <c r="AG29" s="218">
        <f t="shared" si="17"/>
        <v>951.0946297260274</v>
      </c>
      <c r="AH29" s="212" t="s">
        <v>199</v>
      </c>
      <c r="AI29" s="201"/>
      <c r="AJ29" s="243" t="str">
        <f t="shared" si="10"/>
        <v>X</v>
      </c>
      <c r="AK29" s="244">
        <v>2394</v>
      </c>
      <c r="AL29" s="202">
        <v>0</v>
      </c>
      <c r="AM29" s="202">
        <v>-21.33663999999999</v>
      </c>
      <c r="AN29" s="202"/>
      <c r="AO29" s="202">
        <v>57.63961027397261</v>
      </c>
      <c r="AP29" s="244">
        <f t="shared" si="11"/>
        <v>36.30297027397262</v>
      </c>
      <c r="AQ29" s="244">
        <f t="shared" si="21"/>
        <v>2357.6970297260273</v>
      </c>
      <c r="AR29" s="202">
        <f t="shared" si="13"/>
        <v>2357.6970297260273</v>
      </c>
      <c r="AS29" s="217">
        <f t="shared" si="14"/>
        <v>-1406.6023999999998</v>
      </c>
      <c r="AT29" s="202">
        <f t="shared" si="3"/>
        <v>951.0946297260275</v>
      </c>
      <c r="AV29" s="202">
        <v>0</v>
      </c>
      <c r="AW29" s="217">
        <f t="shared" si="22"/>
        <v>-1406.6023999999998</v>
      </c>
      <c r="AX29" s="217">
        <f t="shared" si="5"/>
        <v>1406.6023999999998</v>
      </c>
      <c r="AZ29" s="133"/>
      <c r="BA29" s="38"/>
      <c r="BB29" s="180"/>
    </row>
    <row r="30" spans="1:54" s="159" customFormat="1" ht="15">
      <c r="A30" s="32" t="s">
        <v>181</v>
      </c>
      <c r="B30" s="225" t="str">
        <f>+modsalario2021!B29</f>
        <v>Y</v>
      </c>
      <c r="C30" s="257"/>
      <c r="D30" s="257"/>
      <c r="E30" s="282"/>
      <c r="F30" s="282"/>
      <c r="G30" s="204">
        <f>+modsalario2021!I29</f>
        <v>142.5</v>
      </c>
      <c r="H30" s="204">
        <f>+modsalario2021!Q29</f>
        <v>159.14301369863014</v>
      </c>
      <c r="I30" s="147">
        <v>7</v>
      </c>
      <c r="J30" s="38">
        <f t="shared" si="18"/>
        <v>997.5</v>
      </c>
      <c r="K30" s="38"/>
      <c r="L30" s="38"/>
      <c r="M30" s="197"/>
      <c r="N30" s="38"/>
      <c r="O30" s="38"/>
      <c r="P30" s="133"/>
      <c r="Q30" s="38"/>
      <c r="R30" s="133"/>
      <c r="S30" s="38"/>
      <c r="T30" s="38">
        <f t="shared" si="19"/>
        <v>997.5</v>
      </c>
      <c r="U30" s="31">
        <f>+ISRAbril2021!O57</f>
        <v>63.59576</v>
      </c>
      <c r="V30" s="31">
        <f>+ISRAbril2021!P57</f>
        <v>74.83</v>
      </c>
      <c r="W30" s="31">
        <v>0</v>
      </c>
      <c r="X30" s="31">
        <f t="shared" si="23"/>
        <v>-11.23424</v>
      </c>
      <c r="Y30" s="134">
        <f>+'COP TUXTLA'!V34</f>
        <v>57.63961027397261</v>
      </c>
      <c r="Z30" s="31"/>
      <c r="AA30" s="146"/>
      <c r="AB30" s="204">
        <f t="shared" si="0"/>
        <v>46.40537027397261</v>
      </c>
      <c r="AC30" s="31">
        <f t="shared" si="20"/>
        <v>951.0946297260274</v>
      </c>
      <c r="AD30" s="146"/>
      <c r="AE30" s="146">
        <v>257.81</v>
      </c>
      <c r="AF30" s="135">
        <f t="shared" si="9"/>
        <v>257.81</v>
      </c>
      <c r="AG30" s="218">
        <f t="shared" si="17"/>
        <v>693.2846297260273</v>
      </c>
      <c r="AH30" s="212" t="s">
        <v>199</v>
      </c>
      <c r="AI30" s="201"/>
      <c r="AJ30" s="243" t="str">
        <f t="shared" si="10"/>
        <v>Y</v>
      </c>
      <c r="AK30" s="244">
        <v>1852.5</v>
      </c>
      <c r="AL30" s="202">
        <v>0</v>
      </c>
      <c r="AM30" s="202">
        <v>-84.34263999999997</v>
      </c>
      <c r="AN30" s="202"/>
      <c r="AO30" s="202">
        <v>57.63961027397261</v>
      </c>
      <c r="AP30" s="244">
        <f t="shared" si="11"/>
        <v>-26.703029726027367</v>
      </c>
      <c r="AQ30" s="244">
        <f t="shared" si="21"/>
        <v>1879.2030297260274</v>
      </c>
      <c r="AR30" s="202">
        <f t="shared" si="13"/>
        <v>1879.2030297260274</v>
      </c>
      <c r="AS30" s="217">
        <f t="shared" si="14"/>
        <v>-928.1084</v>
      </c>
      <c r="AT30" s="202">
        <f t="shared" si="3"/>
        <v>951.0946297260274</v>
      </c>
      <c r="AV30" s="202">
        <v>535.92</v>
      </c>
      <c r="AW30" s="217">
        <f t="shared" si="22"/>
        <v>-928.1084</v>
      </c>
      <c r="AX30" s="250">
        <f t="shared" si="5"/>
        <v>1464.0284</v>
      </c>
      <c r="AZ30" s="133"/>
      <c r="BA30" s="38"/>
      <c r="BB30" s="180"/>
    </row>
    <row r="31" spans="1:54" s="159" customFormat="1" ht="15">
      <c r="A31" s="32" t="s">
        <v>181</v>
      </c>
      <c r="B31" s="225" t="str">
        <f>+modsalario2021!B30</f>
        <v>Z</v>
      </c>
      <c r="C31" s="257"/>
      <c r="D31" s="257"/>
      <c r="E31" s="282"/>
      <c r="F31" s="282"/>
      <c r="G31" s="204">
        <f>+modsalario2021!I30</f>
        <v>142.5</v>
      </c>
      <c r="H31" s="204">
        <f>+modsalario2021!Q30</f>
        <v>159.14301369863014</v>
      </c>
      <c r="I31" s="147">
        <v>7</v>
      </c>
      <c r="J31" s="38">
        <f t="shared" si="18"/>
        <v>997.5</v>
      </c>
      <c r="K31" s="38"/>
      <c r="L31" s="38"/>
      <c r="M31" s="197"/>
      <c r="N31" s="38"/>
      <c r="O31" s="38"/>
      <c r="P31" s="38"/>
      <c r="Q31" s="38"/>
      <c r="R31" s="133"/>
      <c r="S31" s="38"/>
      <c r="T31" s="38">
        <f t="shared" si="19"/>
        <v>997.5</v>
      </c>
      <c r="U31" s="31">
        <f>+ISRAbril2021!O58</f>
        <v>63.59576</v>
      </c>
      <c r="V31" s="31">
        <f>+ISRAbril2021!P58</f>
        <v>74.83</v>
      </c>
      <c r="W31" s="31">
        <f>+U31-V31</f>
        <v>-11.23424</v>
      </c>
      <c r="X31" s="31">
        <v>0</v>
      </c>
      <c r="Y31" s="134">
        <f>+'COP TUXTLA'!V35</f>
        <v>57.63961027397261</v>
      </c>
      <c r="Z31" s="31"/>
      <c r="AA31" s="146"/>
      <c r="AB31" s="204">
        <f t="shared" si="0"/>
        <v>46.40537027397261</v>
      </c>
      <c r="AC31" s="31">
        <f t="shared" si="20"/>
        <v>951.0946297260274</v>
      </c>
      <c r="AD31" s="146"/>
      <c r="AE31" s="146"/>
      <c r="AF31" s="135">
        <f t="shared" si="9"/>
        <v>0</v>
      </c>
      <c r="AG31" s="218">
        <f t="shared" si="17"/>
        <v>951.0946297260274</v>
      </c>
      <c r="AH31" s="212" t="s">
        <v>199</v>
      </c>
      <c r="AI31" s="201"/>
      <c r="AJ31" s="243" t="str">
        <f t="shared" si="10"/>
        <v>Z</v>
      </c>
      <c r="AK31" s="244">
        <v>2394</v>
      </c>
      <c r="AL31" s="202">
        <v>0</v>
      </c>
      <c r="AM31" s="202">
        <v>-21.33663999999999</v>
      </c>
      <c r="AN31" s="202"/>
      <c r="AO31" s="202">
        <v>57.63961027397261</v>
      </c>
      <c r="AP31" s="244">
        <f t="shared" si="11"/>
        <v>36.30297027397262</v>
      </c>
      <c r="AQ31" s="244">
        <f t="shared" si="21"/>
        <v>2357.6970297260273</v>
      </c>
      <c r="AR31" s="202">
        <f t="shared" si="13"/>
        <v>2357.6970297260273</v>
      </c>
      <c r="AS31" s="217">
        <f t="shared" si="14"/>
        <v>-1406.6023999999998</v>
      </c>
      <c r="AT31" s="202">
        <f t="shared" si="3"/>
        <v>951.0946297260275</v>
      </c>
      <c r="AV31" s="202">
        <v>712.31</v>
      </c>
      <c r="AW31" s="217">
        <f t="shared" si="22"/>
        <v>-1406.6023999999998</v>
      </c>
      <c r="AX31" s="250">
        <f t="shared" si="5"/>
        <v>2118.9123999999997</v>
      </c>
      <c r="AZ31" s="133"/>
      <c r="BA31" s="38"/>
      <c r="BB31" s="180"/>
    </row>
    <row r="32" spans="1:54" s="159" customFormat="1" ht="15">
      <c r="A32" s="32" t="s">
        <v>181</v>
      </c>
      <c r="B32" s="225" t="str">
        <f>+modsalario2021!B32</f>
        <v>AB</v>
      </c>
      <c r="C32" s="257"/>
      <c r="D32" s="257"/>
      <c r="E32" s="282"/>
      <c r="F32" s="282"/>
      <c r="G32" s="204">
        <f>+modsalario2021!I32</f>
        <v>142.5</v>
      </c>
      <c r="H32" s="204">
        <f>+modsalario2021!Q32</f>
        <v>159.14301369863014</v>
      </c>
      <c r="I32" s="147">
        <v>7</v>
      </c>
      <c r="J32" s="38">
        <f t="shared" si="18"/>
        <v>997.5</v>
      </c>
      <c r="K32" s="38"/>
      <c r="L32" s="38"/>
      <c r="M32" s="197"/>
      <c r="N32" s="38"/>
      <c r="O32" s="38"/>
      <c r="P32" s="38"/>
      <c r="Q32" s="38"/>
      <c r="R32" s="133"/>
      <c r="S32" s="38"/>
      <c r="T32" s="38">
        <f t="shared" si="19"/>
        <v>997.5</v>
      </c>
      <c r="U32" s="31">
        <f>+ISRAbril2021!O59</f>
        <v>63.59576</v>
      </c>
      <c r="V32" s="31">
        <f>+ISRAbril2021!P59</f>
        <v>74.83</v>
      </c>
      <c r="W32" s="31">
        <f>+U32-V32</f>
        <v>-11.23424</v>
      </c>
      <c r="X32" s="31">
        <v>0</v>
      </c>
      <c r="Y32" s="134">
        <f>+'COP TUXTLA'!V36</f>
        <v>57.63961027397261</v>
      </c>
      <c r="Z32" s="31"/>
      <c r="AA32" s="146"/>
      <c r="AB32" s="204">
        <f t="shared" si="0"/>
        <v>46.40537027397261</v>
      </c>
      <c r="AC32" s="31">
        <f t="shared" si="20"/>
        <v>951.0946297260274</v>
      </c>
      <c r="AD32" s="146"/>
      <c r="AE32" s="146"/>
      <c r="AF32" s="135">
        <f>AD32+AE32</f>
        <v>0</v>
      </c>
      <c r="AG32" s="218">
        <f t="shared" si="17"/>
        <v>951.0946297260274</v>
      </c>
      <c r="AH32" s="212" t="s">
        <v>199</v>
      </c>
      <c r="AI32" s="201"/>
      <c r="AJ32" s="243" t="str">
        <f t="shared" si="10"/>
        <v>AB</v>
      </c>
      <c r="AK32" s="244">
        <v>2137.5</v>
      </c>
      <c r="AL32" s="202">
        <v>0</v>
      </c>
      <c r="AM32" s="202">
        <v>-66.10263999999998</v>
      </c>
      <c r="AN32" s="202"/>
      <c r="AO32" s="202">
        <v>57.63961027397261</v>
      </c>
      <c r="AP32" s="244">
        <f t="shared" si="11"/>
        <v>-8.463029726027372</v>
      </c>
      <c r="AQ32" s="244">
        <f t="shared" si="21"/>
        <v>2145.9630297260273</v>
      </c>
      <c r="AR32" s="202">
        <f t="shared" si="13"/>
        <v>2145.9630297260273</v>
      </c>
      <c r="AS32" s="217">
        <f t="shared" si="14"/>
        <v>-1194.8683999999998</v>
      </c>
      <c r="AT32" s="202">
        <f t="shared" si="3"/>
        <v>951.0946297260275</v>
      </c>
      <c r="AV32" s="202">
        <v>718.01</v>
      </c>
      <c r="AW32" s="217">
        <f t="shared" si="22"/>
        <v>-1194.8683999999998</v>
      </c>
      <c r="AX32" s="250">
        <f t="shared" si="5"/>
        <v>1912.8783999999998</v>
      </c>
      <c r="AZ32" s="133"/>
      <c r="BA32" s="38"/>
      <c r="BB32" s="180"/>
    </row>
    <row r="33" spans="1:54" s="159" customFormat="1" ht="15">
      <c r="A33" s="32" t="s">
        <v>181</v>
      </c>
      <c r="B33" s="225" t="str">
        <f>+modsalario2021!B34</f>
        <v>AD</v>
      </c>
      <c r="C33" s="277">
        <f>+modsalario2021!C34</f>
        <v>71978248525</v>
      </c>
      <c r="D33" s="277">
        <f>+modsalario2021!D34</f>
        <v>0</v>
      </c>
      <c r="E33" s="277" t="str">
        <f>+modsalario2021!E34</f>
        <v>LOJF8210195Y2</v>
      </c>
      <c r="F33" s="277" t="str">
        <f>+modsalario2021!F34</f>
        <v>LOJF821019HCSPNB08</v>
      </c>
      <c r="G33" s="204">
        <f>+modsalario2021!I34</f>
        <v>142.5</v>
      </c>
      <c r="H33" s="204">
        <f>+modsalario2021!Q34</f>
        <v>159.14301369863014</v>
      </c>
      <c r="I33" s="147">
        <v>7</v>
      </c>
      <c r="J33" s="38">
        <f t="shared" si="18"/>
        <v>997.5</v>
      </c>
      <c r="K33" s="38"/>
      <c r="L33" s="38"/>
      <c r="M33" s="197"/>
      <c r="N33" s="38"/>
      <c r="O33" s="38"/>
      <c r="P33" s="38"/>
      <c r="Q33" s="38"/>
      <c r="R33" s="133"/>
      <c r="S33" s="202"/>
      <c r="T33" s="38">
        <f t="shared" si="19"/>
        <v>997.5</v>
      </c>
      <c r="U33" s="31">
        <f>+ISRAbril2021!O60</f>
        <v>57.21176</v>
      </c>
      <c r="V33" s="31">
        <f>+ISRAbril2021!P60</f>
        <v>88.06</v>
      </c>
      <c r="W33" s="31">
        <f>+U33-V33</f>
        <v>-30.848240000000004</v>
      </c>
      <c r="X33" s="31">
        <v>0</v>
      </c>
      <c r="Y33" s="134">
        <f>+'COP TUXTLA'!V37</f>
        <v>57.63961027397261</v>
      </c>
      <c r="Z33" s="31"/>
      <c r="AA33" s="146"/>
      <c r="AB33" s="204">
        <f t="shared" si="0"/>
        <v>26.791370273972603</v>
      </c>
      <c r="AC33" s="31">
        <f t="shared" si="20"/>
        <v>970.7086297260274</v>
      </c>
      <c r="AD33" s="146"/>
      <c r="AE33" s="146"/>
      <c r="AF33" s="135"/>
      <c r="AG33" s="218">
        <f t="shared" si="17"/>
        <v>970.7086297260274</v>
      </c>
      <c r="AH33" s="212" t="s">
        <v>199</v>
      </c>
      <c r="AI33" s="201"/>
      <c r="AJ33" s="243" t="str">
        <f t="shared" si="10"/>
        <v>AD</v>
      </c>
      <c r="AK33" s="244">
        <v>2565</v>
      </c>
      <c r="AL33" s="202">
        <v>0</v>
      </c>
      <c r="AM33" s="202">
        <v>-10.39264</v>
      </c>
      <c r="AN33" s="202"/>
      <c r="AO33" s="202">
        <v>57.63961027397261</v>
      </c>
      <c r="AP33" s="244">
        <f>SUM(AL33:AO33)</f>
        <v>47.24697027397261</v>
      </c>
      <c r="AQ33" s="244">
        <f t="shared" si="21"/>
        <v>2517.7530297260273</v>
      </c>
      <c r="AR33" s="202">
        <f>+AK33-AP33</f>
        <v>2517.7530297260273</v>
      </c>
      <c r="AS33" s="217">
        <f>AC33-AR33</f>
        <v>-1547.0443999999998</v>
      </c>
      <c r="AT33" s="202">
        <f>+AR33+AS33</f>
        <v>970.7086297260275</v>
      </c>
      <c r="AV33" s="202">
        <v>800</v>
      </c>
      <c r="AW33" s="217">
        <f t="shared" si="22"/>
        <v>-1547.0443999999998</v>
      </c>
      <c r="AX33" s="250">
        <f>+AV33-AW33</f>
        <v>2347.0443999999998</v>
      </c>
      <c r="AZ33" s="133"/>
      <c r="BA33" s="38"/>
      <c r="BB33" s="180"/>
    </row>
    <row r="34" spans="1:54" s="159" customFormat="1" ht="15">
      <c r="A34" s="32" t="s">
        <v>181</v>
      </c>
      <c r="B34" s="225" t="str">
        <f>+modsalario2021!B35</f>
        <v>AC</v>
      </c>
      <c r="C34" s="267" t="str">
        <f>+modsalario2021!C35</f>
        <v>06139634031</v>
      </c>
      <c r="D34" s="277">
        <f>+modsalario2021!D35</f>
        <v>0</v>
      </c>
      <c r="E34" s="277" t="str">
        <f>+modsalario2021!E35</f>
        <v>GOVP960704851</v>
      </c>
      <c r="F34" s="277" t="str">
        <f>+modsalario2021!F35</f>
        <v>GOVP960704MCSNRL04</v>
      </c>
      <c r="G34" s="204">
        <f>+modsalario2021!I35</f>
        <v>142.5</v>
      </c>
      <c r="H34" s="204">
        <f>+modsalario2021!Q35</f>
        <v>159.14301369863014</v>
      </c>
      <c r="I34" s="147">
        <v>7</v>
      </c>
      <c r="J34" s="38">
        <f t="shared" si="18"/>
        <v>997.5</v>
      </c>
      <c r="K34" s="38"/>
      <c r="L34" s="38"/>
      <c r="M34" s="197"/>
      <c r="N34" s="38"/>
      <c r="O34" s="38"/>
      <c r="P34" s="38"/>
      <c r="Q34" s="38"/>
      <c r="R34" s="202"/>
      <c r="S34" s="202"/>
      <c r="T34" s="38">
        <f t="shared" si="19"/>
        <v>997.5</v>
      </c>
      <c r="U34" s="31">
        <f>+ISRAbril2021!O61</f>
        <v>57.21176</v>
      </c>
      <c r="V34" s="31">
        <f>+ISRAbril2021!P61</f>
        <v>88.06</v>
      </c>
      <c r="W34" s="31">
        <v>0</v>
      </c>
      <c r="X34" s="31">
        <f t="shared" si="23"/>
        <v>-30.848240000000004</v>
      </c>
      <c r="Y34" s="134">
        <f>+'COP TUXTLA'!V38</f>
        <v>57.63961027397261</v>
      </c>
      <c r="Z34" s="31"/>
      <c r="AA34" s="146"/>
      <c r="AB34" s="204">
        <f t="shared" si="0"/>
        <v>26.791370273972603</v>
      </c>
      <c r="AC34" s="31">
        <f t="shared" si="20"/>
        <v>970.7086297260274</v>
      </c>
      <c r="AD34" s="146">
        <v>0</v>
      </c>
      <c r="AE34" s="146">
        <v>0</v>
      </c>
      <c r="AF34" s="135">
        <f>AD34+AE34</f>
        <v>0</v>
      </c>
      <c r="AG34" s="218">
        <f t="shared" si="17"/>
        <v>970.7086297260274</v>
      </c>
      <c r="AH34" s="212" t="s">
        <v>199</v>
      </c>
      <c r="AI34" s="201"/>
      <c r="AJ34" s="243" t="str">
        <f t="shared" si="10"/>
        <v>AC</v>
      </c>
      <c r="AK34" s="244">
        <v>2137.5</v>
      </c>
      <c r="AL34" s="202">
        <v>0</v>
      </c>
      <c r="AM34" s="202">
        <v>-66.10263999999998</v>
      </c>
      <c r="AN34" s="202"/>
      <c r="AO34" s="202">
        <v>57.63961027397261</v>
      </c>
      <c r="AP34" s="244">
        <f>SUM(AL34:AO34)</f>
        <v>-8.463029726027372</v>
      </c>
      <c r="AQ34" s="244">
        <f t="shared" si="21"/>
        <v>2145.9630297260273</v>
      </c>
      <c r="AR34" s="202">
        <f t="shared" si="13"/>
        <v>2145.9630297260273</v>
      </c>
      <c r="AS34" s="217">
        <f t="shared" si="14"/>
        <v>-1175.2543999999998</v>
      </c>
      <c r="AT34" s="202">
        <f t="shared" si="3"/>
        <v>970.7086297260275</v>
      </c>
      <c r="AV34" s="202"/>
      <c r="AW34" s="217">
        <v>0</v>
      </c>
      <c r="AX34" s="217">
        <f t="shared" si="5"/>
        <v>0</v>
      </c>
      <c r="AZ34" s="133">
        <f>((G34/8)*2)*2.75</f>
        <v>97.96875</v>
      </c>
      <c r="BA34" s="38">
        <v>0</v>
      </c>
      <c r="BB34" s="180"/>
    </row>
    <row r="35" spans="1:50" ht="15">
      <c r="A35" s="56"/>
      <c r="B35" s="25"/>
      <c r="C35" s="25"/>
      <c r="D35" s="25"/>
      <c r="E35" s="37"/>
      <c r="F35" s="37"/>
      <c r="G35" s="256"/>
      <c r="H35" s="41"/>
      <c r="I35" s="147">
        <v>7</v>
      </c>
      <c r="J35" s="41">
        <f aca="true" t="shared" si="24" ref="I35:T35">SUM(J7:J34)</f>
        <v>30888.48</v>
      </c>
      <c r="K35" s="41">
        <f t="shared" si="24"/>
        <v>0</v>
      </c>
      <c r="L35" s="41">
        <f t="shared" si="24"/>
        <v>0</v>
      </c>
      <c r="M35" s="41">
        <f t="shared" si="24"/>
        <v>0</v>
      </c>
      <c r="N35" s="41">
        <f t="shared" si="24"/>
        <v>0</v>
      </c>
      <c r="O35" s="41">
        <f t="shared" si="24"/>
        <v>0</v>
      </c>
      <c r="P35" s="41">
        <f t="shared" si="24"/>
        <v>0</v>
      </c>
      <c r="Q35" s="41">
        <f t="shared" si="24"/>
        <v>0</v>
      </c>
      <c r="R35" s="41">
        <f t="shared" si="24"/>
        <v>0</v>
      </c>
      <c r="S35" s="41">
        <f t="shared" si="24"/>
        <v>0</v>
      </c>
      <c r="T35" s="41">
        <f t="shared" si="24"/>
        <v>30888.48</v>
      </c>
      <c r="U35" s="41"/>
      <c r="V35" s="41"/>
      <c r="W35" s="41">
        <f aca="true" t="shared" si="25" ref="W35:AG35">SUM(W7:W34)</f>
        <v>382.68163519999985</v>
      </c>
      <c r="X35" s="41">
        <f t="shared" si="25"/>
        <v>-64.55096</v>
      </c>
      <c r="Y35" s="41">
        <f t="shared" si="25"/>
        <v>1822.90789294573</v>
      </c>
      <c r="Z35" s="41">
        <f t="shared" si="25"/>
        <v>0</v>
      </c>
      <c r="AA35" s="41">
        <f t="shared" si="25"/>
        <v>680</v>
      </c>
      <c r="AB35" s="41">
        <f t="shared" si="25"/>
        <v>2821.0385681457274</v>
      </c>
      <c r="AC35" s="41">
        <f t="shared" si="25"/>
        <v>28067.441431854273</v>
      </c>
      <c r="AD35" s="41">
        <f t="shared" si="25"/>
        <v>4050</v>
      </c>
      <c r="AE35" s="41">
        <f t="shared" si="25"/>
        <v>3316.3400000000006</v>
      </c>
      <c r="AF35" s="41">
        <f t="shared" si="25"/>
        <v>7366.34</v>
      </c>
      <c r="AG35" s="41">
        <f t="shared" si="25"/>
        <v>20701.101431854273</v>
      </c>
      <c r="AH35" s="209"/>
      <c r="AI35" s="201"/>
      <c r="AJ35" s="242">
        <f t="shared" si="10"/>
        <v>0</v>
      </c>
      <c r="AK35" s="41">
        <f aca="true" t="shared" si="26" ref="AK35:AT35">SUM(AK7:AK34)</f>
        <v>79217.003325</v>
      </c>
      <c r="AL35" s="41">
        <f t="shared" si="26"/>
        <v>1531.5227280000001</v>
      </c>
      <c r="AM35" s="41">
        <f t="shared" si="26"/>
        <v>-455.8805071999999</v>
      </c>
      <c r="AN35" s="41">
        <f t="shared" si="26"/>
        <v>680</v>
      </c>
      <c r="AO35" s="41">
        <f t="shared" si="26"/>
        <v>1822.90789294573</v>
      </c>
      <c r="AP35" s="41">
        <f t="shared" si="26"/>
        <v>3578.550113745729</v>
      </c>
      <c r="AQ35" s="41">
        <f t="shared" si="26"/>
        <v>75638.45321125427</v>
      </c>
      <c r="AR35" s="41">
        <f t="shared" si="26"/>
        <v>75638.45321125427</v>
      </c>
      <c r="AS35" s="41">
        <f t="shared" si="26"/>
        <v>-47571.011779399996</v>
      </c>
      <c r="AT35" s="41">
        <f t="shared" si="26"/>
        <v>28067.44143185427</v>
      </c>
      <c r="AV35" s="41">
        <f>SUM(AV7:AV34)</f>
        <v>37779.31</v>
      </c>
      <c r="AW35" s="41">
        <f>SUM(AW7:AW34)</f>
        <v>-46395.7573794</v>
      </c>
      <c r="AX35" s="41">
        <f>SUM(AX7:AX34)</f>
        <v>84175.0673794</v>
      </c>
    </row>
    <row r="36" spans="1:48" s="159" customFormat="1" ht="15">
      <c r="A36" s="56"/>
      <c r="B36" s="25"/>
      <c r="C36" s="25"/>
      <c r="D36" s="25"/>
      <c r="E36" s="37"/>
      <c r="F36" s="37"/>
      <c r="G36" s="230"/>
      <c r="H36" s="49"/>
      <c r="I36" s="216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181">
        <v>0</v>
      </c>
      <c r="AF36" s="41"/>
      <c r="AG36" s="153">
        <f>+AG7+AG15+AG21+AG22+AG25+AG26+AG27+AG28+AG29+AG30+AG31+AG32+AG33+AG34</f>
        <v>12206.141347841403</v>
      </c>
      <c r="AH36" s="209"/>
      <c r="AI36" s="201"/>
      <c r="AJ36" s="201"/>
      <c r="AQ36" s="181"/>
      <c r="AV36" s="180">
        <v>-16711.61</v>
      </c>
    </row>
  </sheetData>
  <sheetProtection/>
  <mergeCells count="16">
    <mergeCell ref="AK4:AR4"/>
    <mergeCell ref="A6:B6"/>
    <mergeCell ref="G4:G5"/>
    <mergeCell ref="H4:H5"/>
    <mergeCell ref="I4:I5"/>
    <mergeCell ref="J4:S4"/>
    <mergeCell ref="AB4:AB5"/>
    <mergeCell ref="AC4:AC5"/>
    <mergeCell ref="T4:T5"/>
    <mergeCell ref="U4:X4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portrait" scale="11" r:id="rId1"/>
  <ignoredErrors>
    <ignoredError sqref="AX11" formula="1"/>
    <ignoredError sqref="AP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42"/>
  <sheetViews>
    <sheetView tabSelected="1" zoomScale="140" zoomScaleNormal="140" zoomScalePageLayoutView="0" workbookViewId="0" topLeftCell="A4">
      <pane xSplit="2" topLeftCell="T1" activePane="topRight" state="frozen"/>
      <selection pane="topLeft" activeCell="A1" sqref="A1"/>
      <selection pane="topRight" activeCell="B10" sqref="B10"/>
    </sheetView>
  </sheetViews>
  <sheetFormatPr defaultColWidth="11.421875" defaultRowHeight="15"/>
  <cols>
    <col min="1" max="1" width="7.421875" style="193" customWidth="1"/>
    <col min="2" max="2" width="38.28125" style="159" customWidth="1"/>
    <col min="3" max="3" width="16.57421875" style="158" customWidth="1"/>
    <col min="4" max="4" width="13.00390625" style="158" customWidth="1"/>
    <col min="5" max="5" width="17.28125" style="220" customWidth="1"/>
    <col min="6" max="6" width="22.57421875" style="220" customWidth="1"/>
    <col min="7" max="7" width="16.421875" style="194" customWidth="1"/>
    <col min="8" max="8" width="16.00390625" style="158" customWidth="1"/>
    <col min="9" max="9" width="15.28125" style="158" customWidth="1"/>
    <col min="10" max="10" width="18.421875" style="158" customWidth="1"/>
    <col min="11" max="11" width="13.7109375" style="158" customWidth="1"/>
    <col min="12" max="12" width="14.8515625" style="158" customWidth="1"/>
    <col min="13" max="13" width="14.421875" style="158" customWidth="1"/>
    <col min="14" max="17" width="15.57421875" style="158" customWidth="1"/>
    <col min="18" max="18" width="14.421875" style="158" customWidth="1"/>
    <col min="19" max="19" width="14.8515625" style="158" customWidth="1"/>
    <col min="20" max="20" width="15.28125" style="158" customWidth="1"/>
    <col min="21" max="21" width="17.00390625" style="158" customWidth="1"/>
    <col min="22" max="22" width="14.7109375" style="158" customWidth="1"/>
    <col min="23" max="26" width="13.00390625" style="158" customWidth="1"/>
    <col min="27" max="27" width="15.57421875" style="158" customWidth="1"/>
    <col min="28" max="30" width="15.8515625" style="158" customWidth="1"/>
    <col min="31" max="32" width="15.7109375" style="158" customWidth="1"/>
    <col min="33" max="33" width="13.57421875" style="158" customWidth="1"/>
    <col min="34" max="34" width="4.28125" style="220" customWidth="1"/>
    <col min="35" max="35" width="3.00390625" style="220" customWidth="1"/>
    <col min="36" max="36" width="11.421875" style="158" customWidth="1"/>
    <col min="37" max="16384" width="11.421875" style="158" customWidth="1"/>
  </cols>
  <sheetData>
    <row r="1" ht="6" customHeight="1">
      <c r="B1" s="159">
        <v>0</v>
      </c>
    </row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295</v>
      </c>
      <c r="B3" s="344"/>
      <c r="C3" s="344"/>
      <c r="D3" s="344"/>
      <c r="E3" s="344"/>
      <c r="F3" s="344"/>
      <c r="G3" s="344"/>
      <c r="H3" s="344"/>
      <c r="I3" s="344"/>
    </row>
    <row r="4" spans="1:33" ht="25.5" customHeight="1">
      <c r="A4" s="356" t="s">
        <v>33</v>
      </c>
      <c r="B4" s="356" t="s">
        <v>34</v>
      </c>
      <c r="C4" s="356" t="s">
        <v>37</v>
      </c>
      <c r="D4" s="356" t="s">
        <v>38</v>
      </c>
      <c r="E4" s="356" t="s">
        <v>31</v>
      </c>
      <c r="F4" s="356" t="s">
        <v>35</v>
      </c>
      <c r="G4" s="357" t="s">
        <v>1</v>
      </c>
      <c r="H4" s="356" t="s">
        <v>39</v>
      </c>
      <c r="I4" s="356" t="s">
        <v>0</v>
      </c>
      <c r="J4" s="361" t="s">
        <v>40</v>
      </c>
      <c r="K4" s="362"/>
      <c r="L4" s="362"/>
      <c r="M4" s="362"/>
      <c r="N4" s="362"/>
      <c r="O4" s="362"/>
      <c r="P4" s="362"/>
      <c r="Q4" s="362"/>
      <c r="R4" s="363"/>
      <c r="S4" s="356" t="s">
        <v>44</v>
      </c>
      <c r="T4" s="364" t="s">
        <v>2</v>
      </c>
      <c r="U4" s="364"/>
      <c r="V4" s="364"/>
      <c r="W4" s="364"/>
      <c r="X4" s="364"/>
      <c r="Y4" s="364"/>
      <c r="Z4" s="364"/>
      <c r="AA4" s="356" t="s">
        <v>50</v>
      </c>
      <c r="AB4" s="356" t="s">
        <v>51</v>
      </c>
      <c r="AC4" s="358" t="s">
        <v>2</v>
      </c>
      <c r="AD4" s="359"/>
      <c r="AE4" s="359"/>
      <c r="AF4" s="349" t="s">
        <v>157</v>
      </c>
      <c r="AG4" s="354" t="s">
        <v>70</v>
      </c>
    </row>
    <row r="5" spans="1:33" ht="24.75" customHeight="1">
      <c r="A5" s="356"/>
      <c r="B5" s="356"/>
      <c r="C5" s="356"/>
      <c r="D5" s="356"/>
      <c r="E5" s="356"/>
      <c r="F5" s="356"/>
      <c r="G5" s="357"/>
      <c r="H5" s="356"/>
      <c r="I5" s="356"/>
      <c r="J5" s="140" t="s">
        <v>41</v>
      </c>
      <c r="K5" s="141" t="s">
        <v>52</v>
      </c>
      <c r="L5" s="141" t="s">
        <v>42</v>
      </c>
      <c r="M5" s="139" t="s">
        <v>168</v>
      </c>
      <c r="N5" s="132" t="s">
        <v>170</v>
      </c>
      <c r="O5" s="139" t="s">
        <v>175</v>
      </c>
      <c r="P5" s="139" t="s">
        <v>158</v>
      </c>
      <c r="Q5" s="139" t="s">
        <v>228</v>
      </c>
      <c r="R5" s="141" t="s">
        <v>60</v>
      </c>
      <c r="S5" s="356"/>
      <c r="T5" s="132" t="s">
        <v>45</v>
      </c>
      <c r="U5" s="132" t="s">
        <v>46</v>
      </c>
      <c r="V5" s="141" t="s">
        <v>47</v>
      </c>
      <c r="W5" s="141" t="s">
        <v>48</v>
      </c>
      <c r="X5" s="141" t="s">
        <v>167</v>
      </c>
      <c r="Y5" s="141" t="s">
        <v>169</v>
      </c>
      <c r="Z5" s="141" t="s">
        <v>49</v>
      </c>
      <c r="AA5" s="356"/>
      <c r="AB5" s="356"/>
      <c r="AC5" s="47" t="s">
        <v>154</v>
      </c>
      <c r="AD5" s="47" t="s">
        <v>155</v>
      </c>
      <c r="AE5" s="47" t="s">
        <v>156</v>
      </c>
      <c r="AF5" s="350"/>
      <c r="AG5" s="355"/>
    </row>
    <row r="6" spans="1:37" ht="15">
      <c r="A6" s="360"/>
      <c r="B6" s="360"/>
      <c r="C6" s="142"/>
      <c r="D6" s="142"/>
      <c r="E6" s="142"/>
      <c r="F6" s="142"/>
      <c r="G6" s="143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5"/>
      <c r="AH6" s="150"/>
      <c r="AI6" s="150"/>
      <c r="AJ6" s="145"/>
      <c r="AK6" s="145"/>
    </row>
    <row r="7" spans="1:37" ht="15">
      <c r="A7" s="32" t="s">
        <v>181</v>
      </c>
      <c r="B7" s="219" t="str">
        <f>+modsalario2021!B4</f>
        <v>A</v>
      </c>
      <c r="C7" s="282">
        <f>+modsalario2021!C4</f>
        <v>71027104935</v>
      </c>
      <c r="D7" s="257">
        <f>+modsalario2021!D4</f>
        <v>0</v>
      </c>
      <c r="E7" s="283" t="str">
        <f>+modsalario2021!E4</f>
        <v>COPD710805H80</v>
      </c>
      <c r="F7" s="283" t="str">
        <f>+modsalario2021!F4</f>
        <v>COPD710805HCSRRN09</v>
      </c>
      <c r="G7" s="146">
        <f>+modsalario2021!I4</f>
        <v>176.07</v>
      </c>
      <c r="H7" s="146">
        <f>+modsalario2021!Q4</f>
        <v>195.7121636328805</v>
      </c>
      <c r="I7" s="147">
        <v>7</v>
      </c>
      <c r="J7" s="148">
        <f>G7*I7</f>
        <v>1232.49</v>
      </c>
      <c r="K7" s="148"/>
      <c r="L7" s="148">
        <f>J7*0.1</f>
        <v>123.24900000000001</v>
      </c>
      <c r="M7" s="197"/>
      <c r="N7" s="148"/>
      <c r="O7" s="148"/>
      <c r="P7" s="148"/>
      <c r="Q7" s="148"/>
      <c r="R7" s="148"/>
      <c r="S7" s="148">
        <f>SUM(J7:R7)</f>
        <v>1355.739</v>
      </c>
      <c r="T7" s="146">
        <f>+ISRAbril2021!O78-ISRAbril2021!O34</f>
        <v>233.7596448</v>
      </c>
      <c r="U7" s="146">
        <f>+ISRAbril2021!P78-ISRAbril2021!P34</f>
        <v>226.8</v>
      </c>
      <c r="V7" s="146">
        <f>+T7-U7</f>
        <v>6.959644799999978</v>
      </c>
      <c r="W7" s="146">
        <v>0</v>
      </c>
      <c r="X7" s="146">
        <f>+'COP TUXTLA'!V7</f>
        <v>70.88449926578392</v>
      </c>
      <c r="Y7" s="146"/>
      <c r="Z7" s="146"/>
      <c r="AA7" s="146">
        <f>SUM(V7:Z7)</f>
        <v>77.8441440657839</v>
      </c>
      <c r="AB7" s="146">
        <f aca="true" t="shared" si="0" ref="AB7:AB17">S7-AA7</f>
        <v>1277.8948559342161</v>
      </c>
      <c r="AC7" s="146">
        <v>200</v>
      </c>
      <c r="AD7" s="146">
        <v>0</v>
      </c>
      <c r="AE7" s="146">
        <f>AC7+AD7</f>
        <v>200</v>
      </c>
      <c r="AF7" s="210">
        <f aca="true" t="shared" si="1" ref="AF7:AF27">AB7-AE7</f>
        <v>1077.8948559342161</v>
      </c>
      <c r="AG7" s="211" t="s">
        <v>199</v>
      </c>
      <c r="AH7" s="56" t="s">
        <v>231</v>
      </c>
      <c r="AI7" s="150">
        <v>1</v>
      </c>
      <c r="AJ7" s="145"/>
      <c r="AK7" s="145"/>
    </row>
    <row r="8" spans="1:37" ht="15">
      <c r="A8" s="32" t="s">
        <v>181</v>
      </c>
      <c r="B8" s="219" t="str">
        <f>+modsalario2021!B5</f>
        <v>B</v>
      </c>
      <c r="C8" s="282">
        <f>+modsalario2021!C5</f>
        <v>71068906206</v>
      </c>
      <c r="D8" s="257">
        <f>+modsalario2021!D5</f>
        <v>0</v>
      </c>
      <c r="E8" s="283" t="str">
        <f>+modsalario2021!E5</f>
        <v>EIGR8904026AA</v>
      </c>
      <c r="F8" s="283" t="str">
        <f>+modsalario2021!F5</f>
        <v>EIGR890402HCSSLC06</v>
      </c>
      <c r="G8" s="146">
        <f>+modsalario2021!I5</f>
        <v>176.07</v>
      </c>
      <c r="H8" s="146">
        <f>+modsalario2021!Q5</f>
        <v>195.7121636328805</v>
      </c>
      <c r="I8" s="147">
        <v>7</v>
      </c>
      <c r="J8" s="148">
        <f>G8*I8</f>
        <v>1232.49</v>
      </c>
      <c r="K8" s="148"/>
      <c r="L8" s="148">
        <f aca="true" t="shared" si="2" ref="L8:L34">J8*0.1</f>
        <v>123.24900000000001</v>
      </c>
      <c r="M8" s="197"/>
      <c r="N8" s="148"/>
      <c r="O8" s="148"/>
      <c r="P8" s="148"/>
      <c r="Q8" s="148"/>
      <c r="R8" s="148"/>
      <c r="S8" s="148">
        <f aca="true" t="shared" si="3" ref="S8:S24">SUM(J8:R8)</f>
        <v>1355.739</v>
      </c>
      <c r="T8" s="146">
        <f>+ISRAbril2021!O79-ISRAbril2021!O35</f>
        <v>233.7596448</v>
      </c>
      <c r="U8" s="146">
        <f>+ISRAbril2021!P79-ISRAbril2021!P35</f>
        <v>226.8</v>
      </c>
      <c r="V8" s="146">
        <f>+T8-U8</f>
        <v>6.959644799999978</v>
      </c>
      <c r="W8" s="146">
        <v>0</v>
      </c>
      <c r="X8" s="146">
        <f>+'COP TUXTLA'!V8</f>
        <v>70.88449926578392</v>
      </c>
      <c r="Y8" s="146"/>
      <c r="Z8" s="146">
        <v>0</v>
      </c>
      <c r="AA8" s="146">
        <f aca="true" t="shared" si="4" ref="AA8:AA34">SUM(V8:Z8)</f>
        <v>77.8441440657839</v>
      </c>
      <c r="AB8" s="146">
        <f t="shared" si="0"/>
        <v>1277.8948559342161</v>
      </c>
      <c r="AC8" s="146">
        <v>300</v>
      </c>
      <c r="AD8" s="146">
        <v>285.45</v>
      </c>
      <c r="AE8" s="146">
        <f>AC8+AD8</f>
        <v>585.45</v>
      </c>
      <c r="AF8" s="210">
        <f t="shared" si="1"/>
        <v>692.4448559342161</v>
      </c>
      <c r="AG8" s="212" t="s">
        <v>206</v>
      </c>
      <c r="AH8" s="258">
        <v>1</v>
      </c>
      <c r="AI8" s="150"/>
      <c r="AJ8" s="145"/>
      <c r="AK8" s="145"/>
    </row>
    <row r="9" spans="1:37" ht="15">
      <c r="A9" s="32" t="s">
        <v>181</v>
      </c>
      <c r="B9" s="219" t="str">
        <f>+modsalario2021!B6</f>
        <v>C</v>
      </c>
      <c r="C9" s="282">
        <f>+modsalario2021!C6</f>
        <v>71088919221</v>
      </c>
      <c r="D9" s="257">
        <f>+modsalario2021!D6</f>
        <v>0</v>
      </c>
      <c r="E9" s="283" t="str">
        <f>+modsalario2021!E6</f>
        <v>GOPA890224584</v>
      </c>
      <c r="F9" s="283" t="str">
        <f>+modsalario2021!F6</f>
        <v>GOPA890224HCSNRL00</v>
      </c>
      <c r="G9" s="146">
        <f>+modsalario2021!I6</f>
        <v>158.025</v>
      </c>
      <c r="H9" s="146">
        <f>+modsalario2021!Q6</f>
        <v>176.579547953007</v>
      </c>
      <c r="I9" s="147">
        <v>0</v>
      </c>
      <c r="J9" s="148">
        <f>(G9*I9)*0.4435</f>
        <v>0</v>
      </c>
      <c r="K9" s="148"/>
      <c r="L9" s="148">
        <f t="shared" si="2"/>
        <v>0</v>
      </c>
      <c r="M9" s="148"/>
      <c r="N9" s="148"/>
      <c r="O9" s="148"/>
      <c r="P9" s="148"/>
      <c r="Q9" s="148"/>
      <c r="R9" s="148"/>
      <c r="S9" s="148">
        <f t="shared" si="3"/>
        <v>0</v>
      </c>
      <c r="T9" s="146">
        <f>+ISRAbril2021!O80-ISRAbril2021!O36</f>
        <v>0</v>
      </c>
      <c r="U9" s="146">
        <f>+ISRAbril2021!P80-ISRAbril2021!P36</f>
        <v>0</v>
      </c>
      <c r="V9" s="146">
        <v>0</v>
      </c>
      <c r="W9" s="146">
        <f>T9-U9</f>
        <v>0</v>
      </c>
      <c r="X9" s="146">
        <f>+'COP TUXTLA'!V9</f>
        <v>63.954905024229724</v>
      </c>
      <c r="Y9" s="146"/>
      <c r="Z9" s="146"/>
      <c r="AA9" s="146">
        <f t="shared" si="4"/>
        <v>63.954905024229724</v>
      </c>
      <c r="AB9" s="146">
        <f t="shared" si="0"/>
        <v>-63.954905024229724</v>
      </c>
      <c r="AC9" s="146">
        <v>0</v>
      </c>
      <c r="AD9" s="146">
        <v>0</v>
      </c>
      <c r="AE9" s="146">
        <f aca="true" t="shared" si="5" ref="AE9:AE29">AC9+AD9</f>
        <v>0</v>
      </c>
      <c r="AF9" s="210">
        <f t="shared" si="1"/>
        <v>-63.954905024229724</v>
      </c>
      <c r="AG9" s="212" t="s">
        <v>206</v>
      </c>
      <c r="AH9" s="150">
        <v>2</v>
      </c>
      <c r="AI9" s="150"/>
      <c r="AJ9" s="145"/>
      <c r="AK9" s="145"/>
    </row>
    <row r="10" spans="1:37" ht="15">
      <c r="A10" s="32" t="s">
        <v>181</v>
      </c>
      <c r="B10" s="219" t="str">
        <f>+modsalario2021!B7</f>
        <v>D</v>
      </c>
      <c r="C10" s="282">
        <f>+modsalario2021!C7</f>
        <v>71038419710</v>
      </c>
      <c r="D10" s="257">
        <f>+modsalario2021!D7</f>
        <v>0</v>
      </c>
      <c r="E10" s="283" t="str">
        <f>+modsalario2021!E7</f>
        <v>LOEL840901CQA</v>
      </c>
      <c r="F10" s="283" t="str">
        <f>+modsalario2021!F7</f>
        <v>LOEL840901HCSPSS09</v>
      </c>
      <c r="G10" s="146">
        <f>+modsalario2021!I7</f>
        <v>176.07</v>
      </c>
      <c r="H10" s="146">
        <f>+modsalario2021!Q7</f>
        <v>195.7121636328805</v>
      </c>
      <c r="I10" s="147">
        <v>7</v>
      </c>
      <c r="J10" s="148">
        <f>(G10*I10)</f>
        <v>1232.49</v>
      </c>
      <c r="K10" s="148"/>
      <c r="L10" s="148">
        <f t="shared" si="2"/>
        <v>123.24900000000001</v>
      </c>
      <c r="M10" s="197"/>
      <c r="N10" s="148"/>
      <c r="O10" s="148"/>
      <c r="P10" s="148"/>
      <c r="Q10" s="148"/>
      <c r="R10" s="148"/>
      <c r="S10" s="148">
        <f t="shared" si="3"/>
        <v>1355.739</v>
      </c>
      <c r="T10" s="146">
        <f>+ISRAbril2021!O81-ISRAbril2021!O37</f>
        <v>233.7596448</v>
      </c>
      <c r="U10" s="146">
        <f>+ISRAbril2021!P81-ISRAbril2021!P37</f>
        <v>226.8</v>
      </c>
      <c r="V10" s="146">
        <f>+T10-U10</f>
        <v>6.959644799999978</v>
      </c>
      <c r="W10" s="146">
        <v>0</v>
      </c>
      <c r="X10" s="146">
        <f>+'COP TUXTLA'!V10</f>
        <v>70.88449926578392</v>
      </c>
      <c r="Y10" s="146"/>
      <c r="Z10" s="146"/>
      <c r="AA10" s="146">
        <f t="shared" si="4"/>
        <v>77.8441440657839</v>
      </c>
      <c r="AB10" s="146">
        <f t="shared" si="0"/>
        <v>1277.8948559342161</v>
      </c>
      <c r="AC10" s="146">
        <v>100</v>
      </c>
      <c r="AD10" s="146">
        <v>0</v>
      </c>
      <c r="AE10" s="146">
        <f t="shared" si="5"/>
        <v>100</v>
      </c>
      <c r="AF10" s="210">
        <f t="shared" si="1"/>
        <v>1177.8948559342161</v>
      </c>
      <c r="AG10" s="212" t="s">
        <v>206</v>
      </c>
      <c r="AH10" s="150">
        <v>3</v>
      </c>
      <c r="AI10" s="150"/>
      <c r="AJ10" s="145"/>
      <c r="AK10" s="145"/>
    </row>
    <row r="11" spans="1:37" ht="15">
      <c r="A11" s="32" t="s">
        <v>181</v>
      </c>
      <c r="B11" s="219" t="str">
        <f>+modsalario2021!B8</f>
        <v>E</v>
      </c>
      <c r="C11" s="282">
        <f>+modsalario2021!C8</f>
        <v>71937835008</v>
      </c>
      <c r="D11" s="257">
        <f>+modsalario2021!D8</f>
        <v>0</v>
      </c>
      <c r="E11" s="283" t="str">
        <f>+modsalario2021!E8</f>
        <v>LAGM780425FZ2</v>
      </c>
      <c r="F11" s="283" t="str">
        <f>+modsalario2021!F8</f>
        <v>LAGM780425HCSRRR05</v>
      </c>
      <c r="G11" s="146">
        <f>+modsalario2021!I8</f>
        <v>162</v>
      </c>
      <c r="H11" s="146">
        <f>+modsalario2021!Q8</f>
        <v>180.57234265382223</v>
      </c>
      <c r="I11" s="147">
        <v>7</v>
      </c>
      <c r="J11" s="148">
        <f>G11*I11</f>
        <v>1134</v>
      </c>
      <c r="K11" s="148"/>
      <c r="L11" s="148">
        <f t="shared" si="2"/>
        <v>113.4</v>
      </c>
      <c r="M11" s="197"/>
      <c r="N11" s="148"/>
      <c r="O11" s="148"/>
      <c r="P11" s="148"/>
      <c r="Q11" s="148"/>
      <c r="R11" s="148"/>
      <c r="S11" s="148">
        <f t="shared" si="3"/>
        <v>1247.4</v>
      </c>
      <c r="T11" s="146">
        <f>+ISRAbril2021!O82-ISRAbril2021!O38</f>
        <v>282.60824</v>
      </c>
      <c r="U11" s="146">
        <f>+ISRAbril2021!P82-ISRAbril2021!P38</f>
        <v>226.8</v>
      </c>
      <c r="V11" s="146">
        <f aca="true" t="shared" si="6" ref="V11:V19">+T11-U11</f>
        <v>55.80824000000001</v>
      </c>
      <c r="W11" s="146">
        <v>0</v>
      </c>
      <c r="X11" s="146">
        <f>+'COP TUXTLA'!V11</f>
        <v>65.40104535493124</v>
      </c>
      <c r="Y11" s="146"/>
      <c r="Z11" s="146"/>
      <c r="AA11" s="146">
        <f t="shared" si="4"/>
        <v>121.20928535493125</v>
      </c>
      <c r="AB11" s="146">
        <f t="shared" si="0"/>
        <v>1126.1907146450687</v>
      </c>
      <c r="AC11" s="210">
        <v>0</v>
      </c>
      <c r="AD11" s="146">
        <v>558.22</v>
      </c>
      <c r="AE11" s="146">
        <f t="shared" si="5"/>
        <v>558.22</v>
      </c>
      <c r="AF11" s="210">
        <f t="shared" si="1"/>
        <v>567.9707146450687</v>
      </c>
      <c r="AG11" s="212" t="s">
        <v>206</v>
      </c>
      <c r="AH11" s="150">
        <v>4</v>
      </c>
      <c r="AI11" s="150"/>
      <c r="AJ11" s="145"/>
      <c r="AK11" s="145"/>
    </row>
    <row r="12" spans="1:37" ht="15">
      <c r="A12" s="32" t="s">
        <v>181</v>
      </c>
      <c r="B12" s="219" t="str">
        <f>+modsalario2021!B9</f>
        <v>F</v>
      </c>
      <c r="C12" s="282">
        <f>+modsalario2021!C9</f>
        <v>71927247842</v>
      </c>
      <c r="D12" s="257">
        <f>+modsalario2021!D9</f>
        <v>0</v>
      </c>
      <c r="E12" s="283" t="str">
        <f>+modsalario2021!E9</f>
        <v>VEMG720123848</v>
      </c>
      <c r="F12" s="283" t="str">
        <f>+modsalario2021!F9</f>
        <v>VEMG720123HCSLNL08</v>
      </c>
      <c r="G12" s="146">
        <f>+modsalario2021!I9</f>
        <v>176.07</v>
      </c>
      <c r="H12" s="146">
        <f>+modsalario2021!Q9</f>
        <v>195.71260475270168</v>
      </c>
      <c r="I12" s="147">
        <v>7</v>
      </c>
      <c r="J12" s="148">
        <f>G12*I12</f>
        <v>1232.49</v>
      </c>
      <c r="K12" s="148"/>
      <c r="L12" s="148">
        <f t="shared" si="2"/>
        <v>123.24900000000001</v>
      </c>
      <c r="M12" s="148"/>
      <c r="N12" s="148"/>
      <c r="O12" s="148"/>
      <c r="P12" s="148"/>
      <c r="Q12" s="148"/>
      <c r="R12" s="148"/>
      <c r="S12" s="148">
        <f t="shared" si="3"/>
        <v>1355.739</v>
      </c>
      <c r="T12" s="146">
        <f>+ISRAbril2021!O83-ISRAbril2021!O39</f>
        <v>233.7596448</v>
      </c>
      <c r="U12" s="146">
        <f>+ISRAbril2021!P83-ISRAbril2021!P39</f>
        <v>226.8</v>
      </c>
      <c r="V12" s="146">
        <f t="shared" si="6"/>
        <v>6.959644799999978</v>
      </c>
      <c r="W12" s="146">
        <v>0</v>
      </c>
      <c r="X12" s="146">
        <f>+'COP TUXTLA'!V12</f>
        <v>70.88465903386913</v>
      </c>
      <c r="Y12" s="146"/>
      <c r="Z12" s="149">
        <v>680</v>
      </c>
      <c r="AA12" s="146">
        <f t="shared" si="4"/>
        <v>757.8443038338692</v>
      </c>
      <c r="AB12" s="146">
        <f t="shared" si="0"/>
        <v>597.8946961661309</v>
      </c>
      <c r="AC12" s="210">
        <v>200</v>
      </c>
      <c r="AD12" s="146">
        <v>0</v>
      </c>
      <c r="AE12" s="146">
        <f t="shared" si="5"/>
        <v>200</v>
      </c>
      <c r="AF12" s="210">
        <f t="shared" si="1"/>
        <v>397.89469616613087</v>
      </c>
      <c r="AG12" s="212" t="s">
        <v>206</v>
      </c>
      <c r="AH12" s="150">
        <v>5</v>
      </c>
      <c r="AI12" s="150"/>
      <c r="AJ12" s="145"/>
      <c r="AK12" s="145"/>
    </row>
    <row r="13" spans="1:37" ht="15">
      <c r="A13" s="32" t="s">
        <v>181</v>
      </c>
      <c r="B13" s="219" t="str">
        <f>+modsalario2021!B10</f>
        <v>G</v>
      </c>
      <c r="C13" s="282">
        <f>+modsalario2021!C10</f>
        <v>71008312234</v>
      </c>
      <c r="D13" s="257">
        <f>+modsalario2021!D10</f>
        <v>0</v>
      </c>
      <c r="E13" s="283" t="str">
        <f>+modsalario2021!E10</f>
        <v>PEHF830502DJ2</v>
      </c>
      <c r="F13" s="283" t="str">
        <f>+modsalario2021!F10</f>
        <v>PEHF830502HCSRRL04</v>
      </c>
      <c r="G13" s="146">
        <f>+modsalario2021!I10</f>
        <v>176.07</v>
      </c>
      <c r="H13" s="146">
        <f>+modsalario2021!Q10</f>
        <v>195.47097185205857</v>
      </c>
      <c r="I13" s="147">
        <v>7</v>
      </c>
      <c r="J13" s="148">
        <f>G13*I13</f>
        <v>1232.49</v>
      </c>
      <c r="K13" s="148"/>
      <c r="L13" s="148">
        <f t="shared" si="2"/>
        <v>123.24900000000001</v>
      </c>
      <c r="M13" s="148"/>
      <c r="N13" s="148"/>
      <c r="O13" s="148"/>
      <c r="P13" s="148"/>
      <c r="Q13" s="148"/>
      <c r="R13" s="148"/>
      <c r="S13" s="148">
        <f t="shared" si="3"/>
        <v>1355.739</v>
      </c>
      <c r="T13" s="146">
        <f>+ISRAbril2021!O84-ISRAbril2021!O40</f>
        <v>233.7596448</v>
      </c>
      <c r="U13" s="146">
        <f>+ISRAbril2021!P84-ISRAbril2021!P40</f>
        <v>226.8</v>
      </c>
      <c r="V13" s="146">
        <f t="shared" si="6"/>
        <v>6.959644799999978</v>
      </c>
      <c r="W13" s="146">
        <v>0</v>
      </c>
      <c r="X13" s="146">
        <f>+'COP TUXTLA'!V13</f>
        <v>70.79714261766748</v>
      </c>
      <c r="Y13" s="146">
        <v>0</v>
      </c>
      <c r="Z13" s="149">
        <v>0</v>
      </c>
      <c r="AA13" s="146">
        <f t="shared" si="4"/>
        <v>77.75678741766745</v>
      </c>
      <c r="AB13" s="146">
        <f t="shared" si="0"/>
        <v>1277.9822125823325</v>
      </c>
      <c r="AC13" s="210">
        <v>300</v>
      </c>
      <c r="AD13" s="146">
        <v>0</v>
      </c>
      <c r="AE13" s="146">
        <f t="shared" si="5"/>
        <v>300</v>
      </c>
      <c r="AF13" s="210">
        <f t="shared" si="1"/>
        <v>977.9822125823325</v>
      </c>
      <c r="AG13" s="212" t="s">
        <v>206</v>
      </c>
      <c r="AH13" s="150">
        <v>6</v>
      </c>
      <c r="AI13" s="150"/>
      <c r="AJ13" s="145"/>
      <c r="AK13" s="145"/>
    </row>
    <row r="14" spans="1:37" ht="15">
      <c r="A14" s="32" t="s">
        <v>181</v>
      </c>
      <c r="B14" s="219" t="str">
        <f>+modsalario2021!B11</f>
        <v>H</v>
      </c>
      <c r="C14" s="282">
        <f>+modsalario2021!C11</f>
        <v>75169672997</v>
      </c>
      <c r="D14" s="257">
        <f>+modsalario2021!D11</f>
        <v>0</v>
      </c>
      <c r="E14" s="283" t="str">
        <f>+modsalario2021!E11</f>
        <v>MOCJ960423650</v>
      </c>
      <c r="F14" s="283" t="str">
        <f>+modsalario2021!F11</f>
        <v>MOCJ960423HCSRHM09</v>
      </c>
      <c r="G14" s="210">
        <f>+modsalario2021!I11</f>
        <v>152.42</v>
      </c>
      <c r="H14" s="210">
        <f>+modsalario2021!Q11</f>
        <v>170.4284355201248</v>
      </c>
      <c r="I14" s="147">
        <v>7</v>
      </c>
      <c r="J14" s="148">
        <f aca="true" t="shared" si="7" ref="J14:J26">G14*I14</f>
        <v>1066.9399999999998</v>
      </c>
      <c r="K14" s="148"/>
      <c r="L14" s="148">
        <f t="shared" si="2"/>
        <v>106.69399999999999</v>
      </c>
      <c r="M14" s="148"/>
      <c r="N14" s="148"/>
      <c r="O14" s="148"/>
      <c r="P14" s="148"/>
      <c r="Q14" s="148"/>
      <c r="R14" s="148"/>
      <c r="S14" s="148">
        <f t="shared" si="3"/>
        <v>1173.6339999999998</v>
      </c>
      <c r="T14" s="146">
        <f>+ISRAbril2021!O85-ISRAbril2021!O41</f>
        <v>203.09220799999997</v>
      </c>
      <c r="U14" s="146">
        <f>+ISRAbril2021!P85-ISRAbril2021!P41</f>
        <v>279.40000000000003</v>
      </c>
      <c r="V14" s="146">
        <v>0</v>
      </c>
      <c r="W14" s="146">
        <f>(T14-U14)/7*4</f>
        <v>-43.60445257142861</v>
      </c>
      <c r="X14" s="146">
        <f>+'COP TUXTLA'!V14</f>
        <v>61.7270489899452</v>
      </c>
      <c r="Y14" s="146"/>
      <c r="AA14" s="146">
        <f t="shared" si="4"/>
        <v>18.122596418516594</v>
      </c>
      <c r="AB14" s="146">
        <f t="shared" si="0"/>
        <v>1155.5114035814831</v>
      </c>
      <c r="AC14" s="210">
        <v>250</v>
      </c>
      <c r="AD14" s="146">
        <v>0</v>
      </c>
      <c r="AE14" s="146">
        <f t="shared" si="5"/>
        <v>250</v>
      </c>
      <c r="AF14" s="210">
        <f t="shared" si="1"/>
        <v>905.5114035814831</v>
      </c>
      <c r="AG14" s="212" t="s">
        <v>206</v>
      </c>
      <c r="AH14" s="150">
        <v>7</v>
      </c>
      <c r="AI14" s="150"/>
      <c r="AJ14" s="145"/>
      <c r="AK14" s="145"/>
    </row>
    <row r="15" spans="1:37" ht="15">
      <c r="A15" s="32" t="s">
        <v>181</v>
      </c>
      <c r="B15" s="219" t="str">
        <f>+modsalario2021!B12</f>
        <v>I</v>
      </c>
      <c r="C15" s="282">
        <f>+modsalario2021!C12</f>
        <v>71927733593</v>
      </c>
      <c r="D15" s="257">
        <f>+modsalario2021!D12</f>
        <v>0</v>
      </c>
      <c r="E15" s="283" t="str">
        <f>+modsalario2021!E12</f>
        <v>OAGM770905RZ9</v>
      </c>
      <c r="F15" s="283" t="str">
        <f>+modsalario2021!F12</f>
        <v>OAGM770905HCSRMS02</v>
      </c>
      <c r="G15" s="146">
        <f>+modsalario2021!I12</f>
        <v>176.07</v>
      </c>
      <c r="H15" s="146">
        <f>+modsalario2021!Q12</f>
        <v>194.7476712328767</v>
      </c>
      <c r="I15" s="147">
        <v>7</v>
      </c>
      <c r="J15" s="148">
        <f t="shared" si="7"/>
        <v>1232.49</v>
      </c>
      <c r="K15" s="148"/>
      <c r="L15" s="148">
        <f t="shared" si="2"/>
        <v>123.24900000000001</v>
      </c>
      <c r="M15" s="148"/>
      <c r="N15" s="148"/>
      <c r="O15" s="148"/>
      <c r="P15" s="148"/>
      <c r="Q15" s="148"/>
      <c r="R15" s="148"/>
      <c r="S15" s="148">
        <f t="shared" si="3"/>
        <v>1355.739</v>
      </c>
      <c r="T15" s="146">
        <f>+ISRAbril2021!O86-ISRAbril2021!O42</f>
        <v>233.7596448</v>
      </c>
      <c r="U15" s="146">
        <f>+ISRAbril2021!P86-ISRAbril2021!P42</f>
        <v>226.8</v>
      </c>
      <c r="V15" s="146">
        <f t="shared" si="6"/>
        <v>6.959644799999978</v>
      </c>
      <c r="W15" s="146">
        <v>0</v>
      </c>
      <c r="X15" s="146">
        <f>+'COP TUXTLA'!V15</f>
        <v>70.53517217465753</v>
      </c>
      <c r="Y15" s="146"/>
      <c r="Z15" s="149">
        <v>0</v>
      </c>
      <c r="AA15" s="146">
        <f t="shared" si="4"/>
        <v>77.49481697465751</v>
      </c>
      <c r="AB15" s="146">
        <f t="shared" si="0"/>
        <v>1278.2441830253424</v>
      </c>
      <c r="AC15" s="210">
        <v>150</v>
      </c>
      <c r="AD15" s="146">
        <v>709.91</v>
      </c>
      <c r="AE15" s="146">
        <f t="shared" si="5"/>
        <v>859.91</v>
      </c>
      <c r="AF15" s="210">
        <f t="shared" si="1"/>
        <v>418.33418302534244</v>
      </c>
      <c r="AG15" s="212" t="s">
        <v>199</v>
      </c>
      <c r="AH15" s="56" t="s">
        <v>233</v>
      </c>
      <c r="AI15" s="150">
        <v>2</v>
      </c>
      <c r="AJ15" s="145"/>
      <c r="AK15" s="145"/>
    </row>
    <row r="16" spans="1:37" ht="15">
      <c r="A16" s="32" t="s">
        <v>181</v>
      </c>
      <c r="B16" s="219" t="str">
        <f>+modsalario2021!B13</f>
        <v>J</v>
      </c>
      <c r="C16" s="282">
        <f>+modsalario2021!C13</f>
        <v>71108817504</v>
      </c>
      <c r="D16" s="257">
        <f>+modsalario2021!D13</f>
        <v>0</v>
      </c>
      <c r="E16" s="283" t="str">
        <f>+modsalario2021!E13</f>
        <v>GORE881124</v>
      </c>
      <c r="F16" s="283" t="str">
        <f>+modsalario2021!F13</f>
        <v>GORE881124HCSMDM02</v>
      </c>
      <c r="G16" s="146">
        <f>+modsalario2021!I13</f>
        <v>176.07</v>
      </c>
      <c r="H16" s="146">
        <f>+modsalario2021!Q13</f>
        <v>194.98886301369862</v>
      </c>
      <c r="I16" s="147">
        <v>7</v>
      </c>
      <c r="J16" s="148">
        <f t="shared" si="7"/>
        <v>1232.49</v>
      </c>
      <c r="K16" s="148"/>
      <c r="L16" s="148">
        <f t="shared" si="2"/>
        <v>123.24900000000001</v>
      </c>
      <c r="M16" s="200"/>
      <c r="N16" s="148"/>
      <c r="O16" s="148"/>
      <c r="P16" s="148"/>
      <c r="Q16" s="148"/>
      <c r="R16" s="148"/>
      <c r="S16" s="148">
        <f t="shared" si="3"/>
        <v>1355.739</v>
      </c>
      <c r="T16" s="146">
        <f>+ISRAbril2021!O87-ISRAbril2021!O43</f>
        <v>233.7596448</v>
      </c>
      <c r="U16" s="146">
        <f>+ISRAbril2021!P87-ISRAbril2021!P43</f>
        <v>226.8</v>
      </c>
      <c r="V16" s="146">
        <f t="shared" si="6"/>
        <v>6.959644799999978</v>
      </c>
      <c r="W16" s="146">
        <v>0</v>
      </c>
      <c r="X16" s="146">
        <f>+'COP TUXTLA'!V16</f>
        <v>70.62252882277397</v>
      </c>
      <c r="Y16" s="146"/>
      <c r="Z16" s="146"/>
      <c r="AA16" s="146">
        <f t="shared" si="4"/>
        <v>77.58217362277395</v>
      </c>
      <c r="AB16" s="146">
        <f t="shared" si="0"/>
        <v>1278.156826377226</v>
      </c>
      <c r="AC16" s="210">
        <v>200</v>
      </c>
      <c r="AD16" s="146">
        <v>198.32</v>
      </c>
      <c r="AE16" s="146">
        <f t="shared" si="5"/>
        <v>398.32</v>
      </c>
      <c r="AF16" s="210">
        <f t="shared" si="1"/>
        <v>879.8368263772261</v>
      </c>
      <c r="AG16" s="212" t="s">
        <v>206</v>
      </c>
      <c r="AH16" s="150">
        <v>8</v>
      </c>
      <c r="AI16" s="150"/>
      <c r="AJ16" s="145"/>
      <c r="AK16" s="145"/>
    </row>
    <row r="17" spans="1:37" ht="15">
      <c r="A17" s="32" t="s">
        <v>181</v>
      </c>
      <c r="B17" s="219" t="str">
        <f>+modsalario2021!B14</f>
        <v>K</v>
      </c>
      <c r="C17" s="282" t="str">
        <f>+modsalario2021!C14</f>
        <v>02188940387</v>
      </c>
      <c r="D17" s="257">
        <f>+modsalario2021!D14</f>
        <v>0</v>
      </c>
      <c r="E17" s="283" t="str">
        <f>+modsalario2021!E14</f>
        <v>PARS8910063DA</v>
      </c>
      <c r="F17" s="283" t="str">
        <f>+modsalario2021!F14</f>
        <v>PARS891006MCSRDT08</v>
      </c>
      <c r="G17" s="146">
        <f>+modsalario2021!I14</f>
        <v>283</v>
      </c>
      <c r="H17" s="146">
        <f>+modsalario2021!Q14</f>
        <v>307.9242339737279</v>
      </c>
      <c r="I17" s="147">
        <v>7</v>
      </c>
      <c r="J17" s="148">
        <f t="shared" si="7"/>
        <v>1981</v>
      </c>
      <c r="K17" s="148"/>
      <c r="L17" s="148">
        <f t="shared" si="2"/>
        <v>198.10000000000002</v>
      </c>
      <c r="M17" s="148"/>
      <c r="N17" s="148"/>
      <c r="O17" s="148"/>
      <c r="P17" s="148"/>
      <c r="Q17" s="148"/>
      <c r="R17" s="148"/>
      <c r="S17" s="148">
        <f t="shared" si="3"/>
        <v>2179.1</v>
      </c>
      <c r="T17" s="146">
        <f>+ISRAbril2021!O88-ISRAbril2021!O44</f>
        <v>500.34967999999986</v>
      </c>
      <c r="U17" s="146">
        <f>+ISRAbril2021!P88-ISRAbril2021!P44</f>
        <v>0</v>
      </c>
      <c r="V17" s="146">
        <f t="shared" si="6"/>
        <v>500.34967999999986</v>
      </c>
      <c r="W17" s="146">
        <v>0</v>
      </c>
      <c r="X17" s="146">
        <f>+'COP TUXTLA'!V17</f>
        <v>114.40118991796223</v>
      </c>
      <c r="Y17" s="146"/>
      <c r="AA17" s="146">
        <f t="shared" si="4"/>
        <v>614.7508699179621</v>
      </c>
      <c r="AB17" s="146">
        <f t="shared" si="0"/>
        <v>1564.3491300820378</v>
      </c>
      <c r="AC17" s="210">
        <v>500</v>
      </c>
      <c r="AD17" s="146">
        <v>0</v>
      </c>
      <c r="AE17" s="146">
        <f t="shared" si="5"/>
        <v>500</v>
      </c>
      <c r="AF17" s="210">
        <f t="shared" si="1"/>
        <v>1064.3491300820378</v>
      </c>
      <c r="AG17" s="212" t="s">
        <v>206</v>
      </c>
      <c r="AH17" s="150">
        <v>9</v>
      </c>
      <c r="AI17" s="150"/>
      <c r="AJ17" s="145"/>
      <c r="AK17" s="145"/>
    </row>
    <row r="18" spans="1:37" ht="15">
      <c r="A18" s="32" t="s">
        <v>181</v>
      </c>
      <c r="B18" s="219" t="str">
        <f>+modsalario2021!B15</f>
        <v>L </v>
      </c>
      <c r="C18" s="282" t="str">
        <f>+modsalario2021!C15</f>
        <v>03189637725</v>
      </c>
      <c r="D18" s="257">
        <f>+modsalario2021!D15</f>
        <v>0</v>
      </c>
      <c r="E18" s="283" t="str">
        <f>+modsalario2021!E15</f>
        <v>VENO9606281XA</v>
      </c>
      <c r="F18" s="283" t="str">
        <f>+modsalario2021!F15</f>
        <v>VENO96062HCSLMS07</v>
      </c>
      <c r="G18" s="146">
        <f>+modsalario2021!I15</f>
        <v>176.07</v>
      </c>
      <c r="H18" s="146">
        <f>+modsalario2021!Q15</f>
        <v>194.98886301369862</v>
      </c>
      <c r="I18" s="147">
        <v>7</v>
      </c>
      <c r="J18" s="148">
        <f t="shared" si="7"/>
        <v>1232.49</v>
      </c>
      <c r="K18" s="148"/>
      <c r="L18" s="148">
        <f t="shared" si="2"/>
        <v>123.24900000000001</v>
      </c>
      <c r="M18" s="148"/>
      <c r="N18" s="148"/>
      <c r="O18" s="148"/>
      <c r="P18" s="148"/>
      <c r="Q18" s="148"/>
      <c r="R18" s="148"/>
      <c r="S18" s="148">
        <f>SUM(J18:R18)</f>
        <v>1355.739</v>
      </c>
      <c r="T18" s="146">
        <f>+ISRAbril2021!O89-ISRAbril2021!O45</f>
        <v>233.7596448</v>
      </c>
      <c r="U18" s="146">
        <f>+ISRAbril2021!P89-ISRAbril2021!P45</f>
        <v>226.8</v>
      </c>
      <c r="V18" s="146">
        <f t="shared" si="6"/>
        <v>6.959644799999978</v>
      </c>
      <c r="W18" s="146">
        <v>0</v>
      </c>
      <c r="X18" s="146">
        <f>+'COP TUXTLA'!V19</f>
        <v>70.62252882277397</v>
      </c>
      <c r="Y18" s="146"/>
      <c r="Z18" s="149"/>
      <c r="AA18" s="146">
        <f t="shared" si="4"/>
        <v>77.58217362277395</v>
      </c>
      <c r="AB18" s="146">
        <f aca="true" t="shared" si="8" ref="AB18:AB24">S18-AA18</f>
        <v>1278.156826377226</v>
      </c>
      <c r="AC18" s="210">
        <v>200</v>
      </c>
      <c r="AD18" s="146">
        <v>0</v>
      </c>
      <c r="AE18" s="146">
        <f t="shared" si="5"/>
        <v>200</v>
      </c>
      <c r="AF18" s="210">
        <f t="shared" si="1"/>
        <v>1078.156826377226</v>
      </c>
      <c r="AG18" s="212" t="s">
        <v>206</v>
      </c>
      <c r="AH18" s="150">
        <v>10</v>
      </c>
      <c r="AI18" s="150"/>
      <c r="AJ18" s="145"/>
      <c r="AK18" s="145"/>
    </row>
    <row r="19" spans="1:37" ht="15">
      <c r="A19" s="32" t="s">
        <v>181</v>
      </c>
      <c r="B19" s="219" t="str">
        <f>+modsalario2021!B16</f>
        <v>LL</v>
      </c>
      <c r="C19" s="282">
        <f>+modsalario2021!C16</f>
        <v>71027901744</v>
      </c>
      <c r="D19" s="257">
        <f>+modsalario2021!D16</f>
        <v>0</v>
      </c>
      <c r="E19" s="283" t="str">
        <f>+modsalario2021!E16</f>
        <v>GOFC791202AV7</v>
      </c>
      <c r="F19" s="283" t="str">
        <f>+modsalario2021!F16</f>
        <v>GOFC791202MCSMLL09</v>
      </c>
      <c r="G19" s="146">
        <f>+modsalario2021!I16</f>
        <v>152.42</v>
      </c>
      <c r="H19" s="146">
        <f>+modsalario2021!Q16</f>
        <v>170.0107193883578</v>
      </c>
      <c r="I19" s="147">
        <v>7</v>
      </c>
      <c r="J19" s="148">
        <f t="shared" si="7"/>
        <v>1066.9399999999998</v>
      </c>
      <c r="K19" s="148"/>
      <c r="L19" s="148">
        <f t="shared" si="2"/>
        <v>106.69399999999999</v>
      </c>
      <c r="M19" s="148"/>
      <c r="N19" s="148"/>
      <c r="O19" s="148"/>
      <c r="P19" s="148"/>
      <c r="Q19" s="148"/>
      <c r="R19" s="148"/>
      <c r="S19" s="148">
        <f>SUM(J19:R19)</f>
        <v>1173.6339999999998</v>
      </c>
      <c r="T19" s="146">
        <f>+ISRAbril2021!O90-ISRAbril2021!O46</f>
        <v>275.417648</v>
      </c>
      <c r="U19" s="146">
        <f>+ISRAbril2021!P90-ISRAbril2021!P46</f>
        <v>253.54</v>
      </c>
      <c r="V19" s="146">
        <f t="shared" si="6"/>
        <v>21.877647999999994</v>
      </c>
      <c r="W19" s="146">
        <v>0</v>
      </c>
      <c r="X19" s="146">
        <f>+'COP TUXTLA'!V20</f>
        <v>61.575757428470844</v>
      </c>
      <c r="Y19" s="146">
        <v>0</v>
      </c>
      <c r="Z19" s="149"/>
      <c r="AA19" s="146">
        <f t="shared" si="4"/>
        <v>83.45340542847083</v>
      </c>
      <c r="AB19" s="146">
        <f t="shared" si="8"/>
        <v>1090.180594571529</v>
      </c>
      <c r="AC19" s="210">
        <v>300</v>
      </c>
      <c r="AD19" s="146">
        <v>0</v>
      </c>
      <c r="AE19" s="146">
        <f t="shared" si="5"/>
        <v>300</v>
      </c>
      <c r="AF19" s="210">
        <f t="shared" si="1"/>
        <v>790.1805945715289</v>
      </c>
      <c r="AG19" s="212" t="s">
        <v>206</v>
      </c>
      <c r="AH19" s="150">
        <v>11</v>
      </c>
      <c r="AI19" s="150"/>
      <c r="AJ19" s="145"/>
      <c r="AK19" s="145"/>
    </row>
    <row r="20" spans="1:37" ht="15">
      <c r="A20" s="32" t="s">
        <v>181</v>
      </c>
      <c r="B20" s="219" t="str">
        <f>+modsalario2021!B17</f>
        <v>M</v>
      </c>
      <c r="C20" s="282">
        <f>+modsalario2021!C17</f>
        <v>71109015314</v>
      </c>
      <c r="D20" s="257">
        <f>+modsalario2021!D17</f>
        <v>0</v>
      </c>
      <c r="E20" s="283" t="str">
        <f>+modsalario2021!E17</f>
        <v>PEDN900323</v>
      </c>
      <c r="F20" s="283" t="str">
        <f>+modsalario2021!F17</f>
        <v>PEDN900323HCSRMS06</v>
      </c>
      <c r="G20" s="210">
        <f>+modsalario2021!I17</f>
        <v>152.42</v>
      </c>
      <c r="H20" s="210">
        <f>+modsalario2021!Q17</f>
        <v>170.01043767196674</v>
      </c>
      <c r="I20" s="147">
        <v>7</v>
      </c>
      <c r="J20" s="148">
        <f t="shared" si="7"/>
        <v>1066.9399999999998</v>
      </c>
      <c r="K20" s="148"/>
      <c r="L20" s="148">
        <f t="shared" si="2"/>
        <v>106.69399999999999</v>
      </c>
      <c r="M20" s="148"/>
      <c r="N20" s="148"/>
      <c r="O20" s="148"/>
      <c r="P20" s="148"/>
      <c r="Q20" s="148"/>
      <c r="R20" s="148"/>
      <c r="S20" s="148">
        <f>SUM(J20:R20)</f>
        <v>1173.6339999999998</v>
      </c>
      <c r="T20" s="146">
        <f>+ISRAbril2021!O91-ISRAbril2021!O47</f>
        <v>203.09220799999997</v>
      </c>
      <c r="U20" s="146">
        <f>+ISRAbril2021!P91-ISRAbril2021!P47</f>
        <v>279.40000000000003</v>
      </c>
      <c r="V20" s="146">
        <v>0</v>
      </c>
      <c r="W20" s="146">
        <f>T20-U20</f>
        <v>-76.30779200000006</v>
      </c>
      <c r="X20" s="146">
        <f>+'COP TUXTLA'!V21</f>
        <v>61.57565539431545</v>
      </c>
      <c r="Y20" s="151"/>
      <c r="Z20" s="151"/>
      <c r="AA20" s="146">
        <f t="shared" si="4"/>
        <v>-14.732136605684616</v>
      </c>
      <c r="AB20" s="146">
        <f t="shared" si="8"/>
        <v>1188.3661366056845</v>
      </c>
      <c r="AC20" s="210">
        <v>300</v>
      </c>
      <c r="AD20" s="146">
        <v>0</v>
      </c>
      <c r="AE20" s="146">
        <f t="shared" si="5"/>
        <v>300</v>
      </c>
      <c r="AF20" s="210">
        <f t="shared" si="1"/>
        <v>888.3661366056845</v>
      </c>
      <c r="AG20" s="212" t="s">
        <v>206</v>
      </c>
      <c r="AH20" s="150">
        <v>12</v>
      </c>
      <c r="AI20" s="150"/>
      <c r="AJ20" s="145"/>
      <c r="AK20" s="145"/>
    </row>
    <row r="21" spans="1:37" ht="15">
      <c r="A21" s="32" t="s">
        <v>181</v>
      </c>
      <c r="B21" s="219" t="str">
        <f>+modsalario2021!B18</f>
        <v>N</v>
      </c>
      <c r="C21" s="282">
        <f>+modsalario2021!C18</f>
        <v>10149124587</v>
      </c>
      <c r="D21" s="257">
        <f>+modsalario2021!D18</f>
        <v>0</v>
      </c>
      <c r="E21" s="283" t="str">
        <f>+modsalario2021!E18</f>
        <v>CUVC911128NT3</v>
      </c>
      <c r="F21" s="283" t="str">
        <f>+modsalario2021!F18</f>
        <v>CUVC911128MCSRRR01</v>
      </c>
      <c r="G21" s="146">
        <f>+modsalario2021!I18</f>
        <v>152.42</v>
      </c>
      <c r="H21" s="146">
        <f>+modsalario2021!Q18</f>
        <v>169.8017808219178</v>
      </c>
      <c r="I21" s="147">
        <v>7</v>
      </c>
      <c r="J21" s="148">
        <f t="shared" si="7"/>
        <v>1066.9399999999998</v>
      </c>
      <c r="K21" s="148"/>
      <c r="L21" s="148">
        <f t="shared" si="2"/>
        <v>106.69399999999999</v>
      </c>
      <c r="M21" s="148"/>
      <c r="N21" s="148"/>
      <c r="O21" s="148"/>
      <c r="P21" s="148"/>
      <c r="Q21" s="148"/>
      <c r="R21" s="148"/>
      <c r="S21" s="148">
        <f>SUM(J21:R21)</f>
        <v>1173.6339999999998</v>
      </c>
      <c r="T21" s="146">
        <f>+ISRAbril2021!O92-ISRAbril2021!O48</f>
        <v>244.062704</v>
      </c>
      <c r="U21" s="146">
        <f>+ISRAbril2021!P92-ISRAbril2021!P48</f>
        <v>250.04000000000002</v>
      </c>
      <c r="V21" s="146">
        <f>+T21-U21</f>
        <v>-5.977296000000024</v>
      </c>
      <c r="W21" s="146">
        <v>0</v>
      </c>
      <c r="X21" s="146">
        <f>+'COP TUXTLA'!V22</f>
        <v>61.50008249143835</v>
      </c>
      <c r="Y21" s="151"/>
      <c r="Z21" s="151"/>
      <c r="AA21" s="146">
        <f t="shared" si="4"/>
        <v>55.522786491438325</v>
      </c>
      <c r="AB21" s="146">
        <f t="shared" si="8"/>
        <v>1118.1112135085614</v>
      </c>
      <c r="AC21" s="210">
        <v>0</v>
      </c>
      <c r="AD21" s="146">
        <v>0</v>
      </c>
      <c r="AE21" s="146">
        <f t="shared" si="5"/>
        <v>0</v>
      </c>
      <c r="AF21" s="210">
        <f t="shared" si="1"/>
        <v>1118.1112135085614</v>
      </c>
      <c r="AG21" s="212" t="s">
        <v>199</v>
      </c>
      <c r="AH21" s="56" t="s">
        <v>198</v>
      </c>
      <c r="AI21" s="150">
        <v>3</v>
      </c>
      <c r="AJ21" s="145"/>
      <c r="AK21" s="145"/>
    </row>
    <row r="22" spans="1:37" ht="15">
      <c r="A22" s="32" t="s">
        <v>181</v>
      </c>
      <c r="B22" s="219" t="str">
        <f>+modsalario2021!B19</f>
        <v>Ñ</v>
      </c>
      <c r="C22" s="282">
        <f>+modsalario2021!C19</f>
        <v>0</v>
      </c>
      <c r="D22" s="257">
        <f>+modsalario2021!D19</f>
        <v>0</v>
      </c>
      <c r="E22" s="283">
        <f>+modsalario2021!E19</f>
        <v>0</v>
      </c>
      <c r="F22" s="283">
        <f>+modsalario2021!F19</f>
        <v>0</v>
      </c>
      <c r="G22" s="210">
        <f>+modsalario2021!I19</f>
        <v>152.42</v>
      </c>
      <c r="H22" s="210">
        <f>+modsalario2021!Q19</f>
        <v>169.8017808219178</v>
      </c>
      <c r="I22" s="147">
        <v>7</v>
      </c>
      <c r="J22" s="148">
        <f t="shared" si="7"/>
        <v>1066.9399999999998</v>
      </c>
      <c r="K22" s="148"/>
      <c r="L22" s="148">
        <f t="shared" si="2"/>
        <v>106.69399999999999</v>
      </c>
      <c r="M22" s="197"/>
      <c r="N22" s="148"/>
      <c r="O22" s="148"/>
      <c r="P22" s="148"/>
      <c r="Q22" s="148"/>
      <c r="R22" s="148"/>
      <c r="S22" s="148">
        <f t="shared" si="3"/>
        <v>1173.6339999999998</v>
      </c>
      <c r="T22" s="146">
        <f>+ISRAbril2021!O93-ISRAbril2021!O49</f>
        <v>220.65099199999997</v>
      </c>
      <c r="U22" s="146">
        <f>+ISRAbril2021!P93-ISRAbril2021!P49</f>
        <v>250.04000000000002</v>
      </c>
      <c r="V22" s="146">
        <v>0</v>
      </c>
      <c r="W22" s="146">
        <f>T22-U22</f>
        <v>-29.389008000000047</v>
      </c>
      <c r="X22" s="146">
        <f>+'COP TUXTLA'!V23</f>
        <v>61.50008249143835</v>
      </c>
      <c r="Y22" s="146"/>
      <c r="Z22" s="146"/>
      <c r="AA22" s="146">
        <f t="shared" si="4"/>
        <v>32.1110744914383</v>
      </c>
      <c r="AB22" s="146">
        <f t="shared" si="8"/>
        <v>1141.5229255085615</v>
      </c>
      <c r="AC22" s="210">
        <v>300</v>
      </c>
      <c r="AD22" s="146">
        <v>0</v>
      </c>
      <c r="AE22" s="146">
        <f t="shared" si="5"/>
        <v>300</v>
      </c>
      <c r="AF22" s="210">
        <f t="shared" si="1"/>
        <v>841.5229255085615</v>
      </c>
      <c r="AG22" s="212" t="s">
        <v>199</v>
      </c>
      <c r="AH22" s="56" t="s">
        <v>234</v>
      </c>
      <c r="AI22" s="150">
        <v>4</v>
      </c>
      <c r="AJ22" s="145"/>
      <c r="AK22" s="145"/>
    </row>
    <row r="23" spans="1:37" ht="15">
      <c r="A23" s="32" t="s">
        <v>181</v>
      </c>
      <c r="B23" s="219" t="str">
        <f>+modsalario2021!B20</f>
        <v>O</v>
      </c>
      <c r="C23" s="282" t="str">
        <f>+modsalario2021!C20</f>
        <v>04199721145</v>
      </c>
      <c r="D23" s="257">
        <f>+modsalario2021!D20</f>
        <v>0</v>
      </c>
      <c r="E23" s="283" t="str">
        <f>+modsalario2021!E20</f>
        <v>VACD971205EPA</v>
      </c>
      <c r="F23" s="283" t="str">
        <f>+modsalario2021!F20</f>
        <v>VACD971205MCSZHN26</v>
      </c>
      <c r="G23" s="210">
        <f>+modsalario2021!I20</f>
        <v>176.07</v>
      </c>
      <c r="H23" s="210">
        <f>+modsalario2021!Q20</f>
        <v>194.7476712328767</v>
      </c>
      <c r="I23" s="147">
        <v>7</v>
      </c>
      <c r="J23" s="148">
        <f t="shared" si="7"/>
        <v>1232.49</v>
      </c>
      <c r="K23" s="148"/>
      <c r="L23" s="148">
        <f t="shared" si="2"/>
        <v>123.24900000000001</v>
      </c>
      <c r="M23" s="148"/>
      <c r="N23" s="148"/>
      <c r="O23" s="148"/>
      <c r="P23" s="148"/>
      <c r="Q23" s="148"/>
      <c r="R23" s="148"/>
      <c r="S23" s="148">
        <f t="shared" si="3"/>
        <v>1355.739</v>
      </c>
      <c r="T23" s="146">
        <f>+ISRAbril2021!O94-ISRAbril2021!O50</f>
        <v>266.0861983999999</v>
      </c>
      <c r="U23" s="146">
        <f>+ISRAbril2021!P94-ISRAbril2021!P50</f>
        <v>226.8</v>
      </c>
      <c r="V23" s="146">
        <f>+T23-U23</f>
        <v>39.286198399999876</v>
      </c>
      <c r="W23" s="146">
        <v>0</v>
      </c>
      <c r="X23" s="146">
        <f>+'COP TUXTLA'!V24</f>
        <v>70.53517217465753</v>
      </c>
      <c r="Y23" s="146"/>
      <c r="Z23" s="146"/>
      <c r="AA23" s="146">
        <f t="shared" si="4"/>
        <v>109.82137057465741</v>
      </c>
      <c r="AB23" s="146">
        <f>S23-AA23</f>
        <v>1245.9176294253425</v>
      </c>
      <c r="AC23" s="210">
        <v>250</v>
      </c>
      <c r="AD23" s="146">
        <v>295.53</v>
      </c>
      <c r="AE23" s="146">
        <f t="shared" si="5"/>
        <v>545.53</v>
      </c>
      <c r="AF23" s="210">
        <f t="shared" si="1"/>
        <v>700.3876294253425</v>
      </c>
      <c r="AG23" s="212" t="s">
        <v>206</v>
      </c>
      <c r="AH23" s="150">
        <v>13</v>
      </c>
      <c r="AI23" s="150"/>
      <c r="AJ23" s="145"/>
      <c r="AK23" s="145"/>
    </row>
    <row r="24" spans="1:37" ht="15">
      <c r="A24" s="32" t="s">
        <v>181</v>
      </c>
      <c r="B24" s="219" t="str">
        <f>+modsalario2021!B21</f>
        <v>P </v>
      </c>
      <c r="C24" s="282" t="str">
        <f>+modsalario2021!C21</f>
        <v>05210394523</v>
      </c>
      <c r="D24" s="257">
        <f>+modsalario2021!D21</f>
        <v>0</v>
      </c>
      <c r="E24" s="283" t="str">
        <f>+modsalario2021!E21</f>
        <v>CUNJ030108</v>
      </c>
      <c r="F24" s="283" t="str">
        <f>+modsalario2021!F21</f>
        <v>CUNJ030108HCSRTVA2</v>
      </c>
      <c r="G24" s="210">
        <f>+modsalario2021!I21</f>
        <v>142.5</v>
      </c>
      <c r="H24" s="210">
        <f>+modsalario2021!Q21</f>
        <v>159.14301369863014</v>
      </c>
      <c r="I24" s="147">
        <v>7</v>
      </c>
      <c r="J24" s="148">
        <f t="shared" si="7"/>
        <v>997.5</v>
      </c>
      <c r="K24" s="148"/>
      <c r="L24" s="148">
        <f t="shared" si="2"/>
        <v>99.75</v>
      </c>
      <c r="M24" s="148"/>
      <c r="N24" s="148"/>
      <c r="O24" s="148"/>
      <c r="P24" s="148"/>
      <c r="Q24" s="148"/>
      <c r="R24" s="148"/>
      <c r="S24" s="199">
        <f t="shared" si="3"/>
        <v>1097.25</v>
      </c>
      <c r="T24" s="146">
        <f>+ISRAbril2021!O95-ISRAbril2021!O51</f>
        <v>188.42647999999997</v>
      </c>
      <c r="U24" s="146">
        <f>+ISRAbril2021!P95-ISRAbril2021!P51</f>
        <v>307.63</v>
      </c>
      <c r="V24" s="146">
        <v>0</v>
      </c>
      <c r="W24" s="146">
        <f>T24-U24</f>
        <v>-119.20352000000003</v>
      </c>
      <c r="X24" s="146">
        <f>+'COP TUXTLA'!V25</f>
        <v>57.63961027397261</v>
      </c>
      <c r="Y24" s="146"/>
      <c r="Z24" s="146"/>
      <c r="AA24" s="146">
        <f t="shared" si="4"/>
        <v>-61.56390972602742</v>
      </c>
      <c r="AB24" s="198">
        <f t="shared" si="8"/>
        <v>1158.8139097260273</v>
      </c>
      <c r="AC24" s="146">
        <v>300</v>
      </c>
      <c r="AD24" s="146">
        <v>91.8</v>
      </c>
      <c r="AE24" s="146">
        <f t="shared" si="5"/>
        <v>391.8</v>
      </c>
      <c r="AF24" s="210">
        <f t="shared" si="1"/>
        <v>767.0139097260274</v>
      </c>
      <c r="AG24" s="261" t="s">
        <v>251</v>
      </c>
      <c r="AH24" s="56"/>
      <c r="AI24" s="150"/>
      <c r="AJ24" s="145"/>
      <c r="AK24" s="145"/>
    </row>
    <row r="25" spans="1:37" ht="15">
      <c r="A25" s="32" t="s">
        <v>181</v>
      </c>
      <c r="B25" s="219" t="str">
        <f>+modsalario2021!B22</f>
        <v>Q</v>
      </c>
      <c r="C25" s="282" t="str">
        <f>+modsalario2021!C22</f>
        <v>0218809848</v>
      </c>
      <c r="D25" s="257">
        <f>+modsalario2021!D22</f>
        <v>0</v>
      </c>
      <c r="E25" s="283" t="str">
        <f>+modsalario2021!E22</f>
        <v>LOVE881118LG2</v>
      </c>
      <c r="F25" s="283" t="str">
        <f>+modsalario2021!F22</f>
        <v>LOVE881118HCSPZR02</v>
      </c>
      <c r="G25" s="210">
        <f>+modsalario2021!I22</f>
        <v>152.42</v>
      </c>
      <c r="H25" s="210">
        <f>+modsalario2021!Q22</f>
        <v>169.8017808219178</v>
      </c>
      <c r="I25" s="147">
        <v>7</v>
      </c>
      <c r="J25" s="148">
        <f t="shared" si="7"/>
        <v>1066.9399999999998</v>
      </c>
      <c r="K25" s="148"/>
      <c r="L25" s="148">
        <f t="shared" si="2"/>
        <v>106.69399999999999</v>
      </c>
      <c r="M25" s="148"/>
      <c r="N25" s="148"/>
      <c r="O25" s="148"/>
      <c r="P25" s="148"/>
      <c r="Q25" s="148"/>
      <c r="R25" s="148"/>
      <c r="S25" s="199">
        <f aca="true" t="shared" si="9" ref="S25:S34">SUM(J25:R25)</f>
        <v>1173.6339999999998</v>
      </c>
      <c r="T25" s="146">
        <f>+ISRAbril2021!O96-ISRAbril2021!O52</f>
        <v>203.09220799999997</v>
      </c>
      <c r="U25" s="146">
        <f>+ISRAbril2021!P96-ISRAbril2021!P52</f>
        <v>279.40000000000003</v>
      </c>
      <c r="V25" s="146">
        <v>0</v>
      </c>
      <c r="W25" s="146">
        <f aca="true" t="shared" si="10" ref="W25:W33">T25-U25</f>
        <v>-76.30779200000006</v>
      </c>
      <c r="X25" s="146">
        <f>+'COP TUXTLA'!V26</f>
        <v>61.50008249143835</v>
      </c>
      <c r="Y25" s="146"/>
      <c r="Z25" s="146"/>
      <c r="AA25" s="146">
        <f t="shared" si="4"/>
        <v>-14.807709508561715</v>
      </c>
      <c r="AB25" s="198">
        <f aca="true" t="shared" si="11" ref="AB25:AB34">S25-AA25</f>
        <v>1188.4417095085614</v>
      </c>
      <c r="AC25" s="146">
        <v>0</v>
      </c>
      <c r="AD25" s="146">
        <v>0</v>
      </c>
      <c r="AE25" s="146">
        <f t="shared" si="5"/>
        <v>0</v>
      </c>
      <c r="AF25" s="210">
        <f t="shared" si="1"/>
        <v>1188.4417095085614</v>
      </c>
      <c r="AG25" s="59" t="s">
        <v>199</v>
      </c>
      <c r="AH25" s="56" t="s">
        <v>237</v>
      </c>
      <c r="AI25" s="150">
        <v>5</v>
      </c>
      <c r="AJ25" s="145"/>
      <c r="AK25" s="145"/>
    </row>
    <row r="26" spans="1:37" s="159" customFormat="1" ht="15">
      <c r="A26" s="32" t="s">
        <v>181</v>
      </c>
      <c r="B26" s="219" t="str">
        <f>+modsalario2021!B25</f>
        <v>T</v>
      </c>
      <c r="C26" s="282" t="str">
        <f>+modsalario2021!C25</f>
        <v>71139446869</v>
      </c>
      <c r="D26" s="257">
        <f>+modsalario2021!D25</f>
        <v>0</v>
      </c>
      <c r="E26" s="283" t="str">
        <f>+modsalario2021!E25</f>
        <v>HEFJ9411283W3</v>
      </c>
      <c r="F26" s="283" t="str">
        <f>+modsalario2021!F25</f>
        <v>HEFJ941128HCSRRR08</v>
      </c>
      <c r="G26" s="210">
        <f>+modsalario2021!I25</f>
        <v>142.5</v>
      </c>
      <c r="H26" s="210">
        <f>+modsalario2021!Q25</f>
        <v>159.14301369863014</v>
      </c>
      <c r="I26" s="147">
        <v>7</v>
      </c>
      <c r="J26" s="148">
        <f t="shared" si="7"/>
        <v>997.5</v>
      </c>
      <c r="K26" s="148"/>
      <c r="L26" s="148">
        <f t="shared" si="2"/>
        <v>99.75</v>
      </c>
      <c r="M26" s="148"/>
      <c r="N26" s="148"/>
      <c r="O26" s="148"/>
      <c r="P26" s="148"/>
      <c r="Q26" s="148"/>
      <c r="R26" s="148"/>
      <c r="S26" s="199">
        <f t="shared" si="9"/>
        <v>1097.25</v>
      </c>
      <c r="T26" s="146">
        <f>+ISRAbril2021!O97-ISRAbril2021!O53</f>
        <v>188.42647999999997</v>
      </c>
      <c r="U26" s="146">
        <f>+ISRAbril2021!P97-ISRAbril2021!P53</f>
        <v>307.63</v>
      </c>
      <c r="V26" s="146">
        <f>+T26-U26</f>
        <v>-119.20352000000003</v>
      </c>
      <c r="W26" s="146">
        <v>0</v>
      </c>
      <c r="X26" s="146">
        <f>+'COP TUXTLA'!V27</f>
        <v>57.63961027397261</v>
      </c>
      <c r="Y26" s="146"/>
      <c r="Z26" s="146"/>
      <c r="AA26" s="146">
        <f t="shared" si="4"/>
        <v>-61.56390972602742</v>
      </c>
      <c r="AB26" s="198">
        <f t="shared" si="11"/>
        <v>1158.8139097260273</v>
      </c>
      <c r="AC26" s="210">
        <v>0</v>
      </c>
      <c r="AD26" s="146">
        <v>0</v>
      </c>
      <c r="AE26" s="146">
        <f t="shared" si="5"/>
        <v>0</v>
      </c>
      <c r="AF26" s="210">
        <f t="shared" si="1"/>
        <v>1158.8139097260273</v>
      </c>
      <c r="AG26" s="59" t="s">
        <v>199</v>
      </c>
      <c r="AH26" s="56" t="s">
        <v>235</v>
      </c>
      <c r="AI26" s="150">
        <v>6</v>
      </c>
      <c r="AJ26" s="145"/>
      <c r="AK26" s="145"/>
    </row>
    <row r="27" spans="1:37" s="214" customFormat="1" ht="15">
      <c r="A27" s="225" t="s">
        <v>181</v>
      </c>
      <c r="B27" s="219" t="str">
        <f>+modsalario2021!B26</f>
        <v>U</v>
      </c>
      <c r="C27" s="282" t="str">
        <f>+modsalario2021!C26</f>
        <v>68159698767</v>
      </c>
      <c r="D27" s="257">
        <f>+modsalario2021!D26</f>
        <v>0</v>
      </c>
      <c r="E27" s="283" t="str">
        <f>+modsalario2021!E26</f>
        <v>RUAB960920383</v>
      </c>
      <c r="F27" s="283" t="str">
        <f>+modsalario2021!F26</f>
        <v>RUAB960920MVZDRL08</v>
      </c>
      <c r="G27" s="210">
        <f>+modsalario2021!I26</f>
        <v>176.07</v>
      </c>
      <c r="H27" s="210">
        <f>+modsalario2021!Q26</f>
        <v>194.50647945205478</v>
      </c>
      <c r="I27" s="147">
        <v>7</v>
      </c>
      <c r="J27" s="226">
        <f aca="true" t="shared" si="12" ref="J27:J34">G27*I27</f>
        <v>1232.49</v>
      </c>
      <c r="K27" s="148"/>
      <c r="L27" s="148">
        <f t="shared" si="2"/>
        <v>123.24900000000001</v>
      </c>
      <c r="M27" s="197"/>
      <c r="N27" s="221"/>
      <c r="O27" s="226"/>
      <c r="P27" s="221"/>
      <c r="Q27" s="148"/>
      <c r="R27" s="226"/>
      <c r="S27" s="227">
        <f t="shared" si="9"/>
        <v>1355.739</v>
      </c>
      <c r="T27" s="146">
        <f>+ISRAbril2021!O98-ISRAbril2021!O54</f>
        <v>233.7596448</v>
      </c>
      <c r="U27" s="146">
        <f>+ISRAbril2021!P98-ISRAbril2021!P54</f>
        <v>226.8</v>
      </c>
      <c r="V27" s="146">
        <f>+T27-U27</f>
        <v>6.959644799999978</v>
      </c>
      <c r="W27" s="146">
        <v>0</v>
      </c>
      <c r="X27" s="146">
        <f>+'COP TUXTLA'!V28</f>
        <v>70.44781552654109</v>
      </c>
      <c r="Y27" s="204">
        <v>0</v>
      </c>
      <c r="Z27" s="210"/>
      <c r="AA27" s="146">
        <f t="shared" si="4"/>
        <v>77.40746032654107</v>
      </c>
      <c r="AB27" s="228">
        <f t="shared" si="11"/>
        <v>1278.331539673459</v>
      </c>
      <c r="AC27" s="210">
        <v>200</v>
      </c>
      <c r="AD27" s="146">
        <v>198.32</v>
      </c>
      <c r="AE27" s="146">
        <f t="shared" si="5"/>
        <v>398.32</v>
      </c>
      <c r="AF27" s="210">
        <f t="shared" si="1"/>
        <v>880.0115396734591</v>
      </c>
      <c r="AG27" s="59" t="s">
        <v>199</v>
      </c>
      <c r="AH27" s="259" t="s">
        <v>238</v>
      </c>
      <c r="AI27" s="260">
        <v>7</v>
      </c>
      <c r="AJ27" s="229"/>
      <c r="AK27" s="229"/>
    </row>
    <row r="28" spans="1:37" s="159" customFormat="1" ht="15">
      <c r="A28" s="32" t="s">
        <v>181</v>
      </c>
      <c r="B28" s="219" t="str">
        <f>+modsalario2021!B24</f>
        <v>S</v>
      </c>
      <c r="C28" s="257">
        <f>+modsalario2021!C24</f>
        <v>2199448990</v>
      </c>
      <c r="D28" s="257">
        <f>+modsalario2021!D24</f>
        <v>0</v>
      </c>
      <c r="E28" s="283" t="str">
        <f>+modsalario2021!E24</f>
        <v>PEAC9410032Z0</v>
      </c>
      <c r="F28" s="283" t="str">
        <f>+modsalario2021!F24</f>
        <v>PEAC941003MCSRVN06</v>
      </c>
      <c r="G28" s="146">
        <f>+modsalario2021!I24</f>
        <v>152.42</v>
      </c>
      <c r="H28" s="146">
        <f>+modsalario2021!Q24</f>
        <v>169.59298630136985</v>
      </c>
      <c r="I28" s="147">
        <v>7</v>
      </c>
      <c r="J28" s="148">
        <f t="shared" si="12"/>
        <v>1066.9399999999998</v>
      </c>
      <c r="K28" s="148"/>
      <c r="L28" s="148">
        <f t="shared" si="2"/>
        <v>106.69399999999999</v>
      </c>
      <c r="M28" s="148"/>
      <c r="N28" s="148"/>
      <c r="O28" s="148"/>
      <c r="P28" s="148"/>
      <c r="Q28" s="148"/>
      <c r="R28" s="148"/>
      <c r="S28" s="199">
        <f t="shared" si="9"/>
        <v>1173.6339999999998</v>
      </c>
      <c r="T28" s="146">
        <f>+ISRAbril2021!O99-ISRAbril2021!O55</f>
        <v>203.09220799999997</v>
      </c>
      <c r="U28" s="146">
        <f>+ISRAbril2021!P99-ISRAbril2021!P55</f>
        <v>279.40000000000003</v>
      </c>
      <c r="V28" s="146">
        <f>+T28-U28</f>
        <v>-76.30779200000006</v>
      </c>
      <c r="W28" s="146">
        <v>0</v>
      </c>
      <c r="X28" s="146">
        <f>+'COP TUXTLA'!V32</f>
        <v>61.42445972602739</v>
      </c>
      <c r="Y28" s="31"/>
      <c r="Z28" s="146"/>
      <c r="AA28" s="146">
        <f t="shared" si="4"/>
        <v>-14.88333227397267</v>
      </c>
      <c r="AB28" s="198">
        <f t="shared" si="11"/>
        <v>1188.5173322739724</v>
      </c>
      <c r="AC28" s="146">
        <v>0</v>
      </c>
      <c r="AD28" s="146">
        <v>0</v>
      </c>
      <c r="AE28" s="146">
        <f t="shared" si="5"/>
        <v>0</v>
      </c>
      <c r="AF28" s="210">
        <f aca="true" t="shared" si="13" ref="AF28:AF34">AB28-AE28</f>
        <v>1188.5173322739724</v>
      </c>
      <c r="AG28" s="212" t="s">
        <v>199</v>
      </c>
      <c r="AH28" s="56" t="s">
        <v>239</v>
      </c>
      <c r="AI28" s="150">
        <v>8</v>
      </c>
      <c r="AJ28" s="145"/>
      <c r="AK28" s="145"/>
    </row>
    <row r="29" spans="1:37" s="159" customFormat="1" ht="15">
      <c r="A29" s="32" t="s">
        <v>181</v>
      </c>
      <c r="B29" s="219" t="str">
        <f>+modsalario2021!B28</f>
        <v>X</v>
      </c>
      <c r="C29" s="257"/>
      <c r="D29" s="257"/>
      <c r="E29" s="283"/>
      <c r="F29" s="283"/>
      <c r="G29" s="146">
        <f>+modsalario2021!I28</f>
        <v>142.5</v>
      </c>
      <c r="H29" s="146">
        <f>+modsalario2021!Q28</f>
        <v>159.14301369863014</v>
      </c>
      <c r="I29" s="147">
        <v>7</v>
      </c>
      <c r="J29" s="148">
        <f t="shared" si="12"/>
        <v>997.5</v>
      </c>
      <c r="K29" s="38"/>
      <c r="L29" s="148">
        <f t="shared" si="2"/>
        <v>99.75</v>
      </c>
      <c r="M29" s="197"/>
      <c r="N29" s="148"/>
      <c r="O29" s="148"/>
      <c r="P29" s="148"/>
      <c r="Q29" s="148"/>
      <c r="R29" s="148"/>
      <c r="S29" s="199">
        <f t="shared" si="9"/>
        <v>1097.25</v>
      </c>
      <c r="T29" s="146">
        <f>+ISRAbril2021!O100-ISRAbril2021!O56</f>
        <v>188.42647999999997</v>
      </c>
      <c r="U29" s="146">
        <f>+ISRAbril2021!P100-ISRAbril2021!P56</f>
        <v>307.63</v>
      </c>
      <c r="V29" s="146">
        <v>0</v>
      </c>
      <c r="W29" s="146">
        <f t="shared" si="10"/>
        <v>-119.20352000000003</v>
      </c>
      <c r="X29" s="146">
        <f>+'COP TUXTLA'!V33</f>
        <v>57.63961027397261</v>
      </c>
      <c r="Y29" s="31"/>
      <c r="Z29" s="146"/>
      <c r="AA29" s="146">
        <f t="shared" si="4"/>
        <v>-61.56390972602742</v>
      </c>
      <c r="AB29" s="198">
        <f t="shared" si="11"/>
        <v>1158.8139097260273</v>
      </c>
      <c r="AC29" s="146">
        <v>0</v>
      </c>
      <c r="AD29" s="146">
        <v>0</v>
      </c>
      <c r="AE29" s="146">
        <f t="shared" si="5"/>
        <v>0</v>
      </c>
      <c r="AF29" s="210">
        <f t="shared" si="13"/>
        <v>1158.8139097260273</v>
      </c>
      <c r="AG29" s="212" t="s">
        <v>199</v>
      </c>
      <c r="AH29" s="56" t="s">
        <v>232</v>
      </c>
      <c r="AI29" s="150">
        <v>9</v>
      </c>
      <c r="AJ29" s="145"/>
      <c r="AK29" s="145"/>
    </row>
    <row r="30" spans="1:37" s="159" customFormat="1" ht="15">
      <c r="A30" s="32" t="s">
        <v>181</v>
      </c>
      <c r="B30" s="219" t="str">
        <f>+modsalario2021!B29</f>
        <v>Y</v>
      </c>
      <c r="C30" s="257"/>
      <c r="D30" s="257"/>
      <c r="E30" s="283"/>
      <c r="F30" s="283"/>
      <c r="G30" s="146">
        <f>+modsalario2021!I29</f>
        <v>142.5</v>
      </c>
      <c r="H30" s="146">
        <f>+modsalario2021!Q29</f>
        <v>159.14301369863014</v>
      </c>
      <c r="I30" s="147">
        <v>7</v>
      </c>
      <c r="J30" s="148">
        <f t="shared" si="12"/>
        <v>997.5</v>
      </c>
      <c r="K30" s="148"/>
      <c r="L30" s="148">
        <f t="shared" si="2"/>
        <v>99.75</v>
      </c>
      <c r="M30" s="197"/>
      <c r="N30" s="148"/>
      <c r="O30" s="148"/>
      <c r="P30" s="148"/>
      <c r="Q30" s="148"/>
      <c r="R30" s="148"/>
      <c r="S30" s="199">
        <f t="shared" si="9"/>
        <v>1097.25</v>
      </c>
      <c r="T30" s="146">
        <f>+ISRAbril2021!O101-ISRAbril2021!O57</f>
        <v>188.42647999999997</v>
      </c>
      <c r="U30" s="146">
        <f>+ISRAbril2021!P101-ISRAbril2021!P57</f>
        <v>307.63</v>
      </c>
      <c r="V30" s="146">
        <v>0</v>
      </c>
      <c r="W30" s="146">
        <f t="shared" si="10"/>
        <v>-119.20352000000003</v>
      </c>
      <c r="X30" s="146">
        <f>+'COP TUXTLA'!V34</f>
        <v>57.63961027397261</v>
      </c>
      <c r="Y30" s="31"/>
      <c r="Z30" s="146"/>
      <c r="AA30" s="146">
        <f t="shared" si="4"/>
        <v>-61.56390972602742</v>
      </c>
      <c r="AB30" s="198">
        <f t="shared" si="11"/>
        <v>1158.8139097260273</v>
      </c>
      <c r="AC30" s="146">
        <v>0</v>
      </c>
      <c r="AD30" s="146">
        <v>257.5</v>
      </c>
      <c r="AE30" s="146">
        <f>AC30+AD30</f>
        <v>257.5</v>
      </c>
      <c r="AF30" s="210">
        <f t="shared" si="13"/>
        <v>901.3139097260273</v>
      </c>
      <c r="AG30" s="212" t="s">
        <v>199</v>
      </c>
      <c r="AH30" s="56" t="s">
        <v>240</v>
      </c>
      <c r="AI30" s="150">
        <v>10</v>
      </c>
      <c r="AJ30" s="145"/>
      <c r="AK30" s="145"/>
    </row>
    <row r="31" spans="1:37" s="159" customFormat="1" ht="15">
      <c r="A31" s="32" t="s">
        <v>181</v>
      </c>
      <c r="B31" s="219" t="str">
        <f>+modsalario2021!B30</f>
        <v>Z</v>
      </c>
      <c r="C31" s="257"/>
      <c r="D31" s="257"/>
      <c r="E31" s="283"/>
      <c r="F31" s="283"/>
      <c r="G31" s="146">
        <f>+modsalario2021!I30</f>
        <v>142.5</v>
      </c>
      <c r="H31" s="146">
        <f>+modsalario2021!Q30</f>
        <v>159.14301369863014</v>
      </c>
      <c r="I31" s="147">
        <v>7</v>
      </c>
      <c r="J31" s="148">
        <f t="shared" si="12"/>
        <v>997.5</v>
      </c>
      <c r="K31" s="38"/>
      <c r="L31" s="148">
        <f t="shared" si="2"/>
        <v>99.75</v>
      </c>
      <c r="M31" s="197"/>
      <c r="N31" s="148"/>
      <c r="O31" s="148"/>
      <c r="P31" s="148"/>
      <c r="Q31" s="148"/>
      <c r="R31" s="148"/>
      <c r="S31" s="199">
        <f t="shared" si="9"/>
        <v>1097.25</v>
      </c>
      <c r="T31" s="146">
        <f>+ISRAbril2021!O102-ISRAbril2021!O58</f>
        <v>188.42647999999997</v>
      </c>
      <c r="U31" s="146">
        <f>+ISRAbril2021!P102-ISRAbril2021!P58</f>
        <v>307.63</v>
      </c>
      <c r="V31" s="146">
        <v>0</v>
      </c>
      <c r="W31" s="146">
        <f t="shared" si="10"/>
        <v>-119.20352000000003</v>
      </c>
      <c r="X31" s="146">
        <f>+'COP TUXTLA'!V35</f>
        <v>57.63961027397261</v>
      </c>
      <c r="Y31" s="31"/>
      <c r="Z31" s="146"/>
      <c r="AA31" s="146">
        <f t="shared" si="4"/>
        <v>-61.56390972602742</v>
      </c>
      <c r="AB31" s="198">
        <f t="shared" si="11"/>
        <v>1158.8139097260273</v>
      </c>
      <c r="AC31" s="146">
        <v>0</v>
      </c>
      <c r="AD31" s="146">
        <v>0</v>
      </c>
      <c r="AE31" s="146">
        <f>AC31+AD31</f>
        <v>0</v>
      </c>
      <c r="AF31" s="210">
        <f t="shared" si="13"/>
        <v>1158.8139097260273</v>
      </c>
      <c r="AG31" s="212" t="s">
        <v>199</v>
      </c>
      <c r="AH31" s="56" t="s">
        <v>236</v>
      </c>
      <c r="AI31" s="150">
        <v>11</v>
      </c>
      <c r="AJ31" s="145"/>
      <c r="AK31" s="145"/>
    </row>
    <row r="32" spans="1:37" s="159" customFormat="1" ht="15">
      <c r="A32" s="32" t="s">
        <v>181</v>
      </c>
      <c r="B32" s="219" t="str">
        <f>+modsalario2021!B32</f>
        <v>AB</v>
      </c>
      <c r="C32" s="257"/>
      <c r="D32" s="257"/>
      <c r="E32" s="283"/>
      <c r="F32" s="283"/>
      <c r="G32" s="146">
        <f>+modsalario2021!I32</f>
        <v>142.5</v>
      </c>
      <c r="H32" s="146">
        <f>+modsalario2021!Q32</f>
        <v>159.14301369863014</v>
      </c>
      <c r="I32" s="147">
        <v>7</v>
      </c>
      <c r="J32" s="148">
        <f t="shared" si="12"/>
        <v>997.5</v>
      </c>
      <c r="K32" s="148"/>
      <c r="L32" s="148">
        <f>J32*0.1</f>
        <v>99.75</v>
      </c>
      <c r="M32" s="197"/>
      <c r="N32" s="148"/>
      <c r="O32" s="148"/>
      <c r="P32" s="148"/>
      <c r="Q32" s="148"/>
      <c r="R32" s="148"/>
      <c r="S32" s="199">
        <f t="shared" si="9"/>
        <v>1097.25</v>
      </c>
      <c r="T32" s="146">
        <f>+ISRAbril2021!O103-ISRAbril2021!O59</f>
        <v>188.42647999999997</v>
      </c>
      <c r="U32" s="146">
        <f>+ISRAbril2021!P103-ISRAbril2021!P59</f>
        <v>307.63</v>
      </c>
      <c r="V32" s="146">
        <v>0</v>
      </c>
      <c r="W32" s="146">
        <f t="shared" si="10"/>
        <v>-119.20352000000003</v>
      </c>
      <c r="X32" s="146">
        <f>+'COP TUXTLA'!V36</f>
        <v>57.63961027397261</v>
      </c>
      <c r="Y32" s="31"/>
      <c r="Z32" s="146"/>
      <c r="AA32" s="146">
        <f t="shared" si="4"/>
        <v>-61.56390972602742</v>
      </c>
      <c r="AB32" s="198">
        <f t="shared" si="11"/>
        <v>1158.8139097260273</v>
      </c>
      <c r="AC32" s="146">
        <v>0</v>
      </c>
      <c r="AD32" s="146">
        <v>0</v>
      </c>
      <c r="AE32" s="146">
        <f>AC32+AD32</f>
        <v>0</v>
      </c>
      <c r="AF32" s="210">
        <f t="shared" si="13"/>
        <v>1158.8139097260273</v>
      </c>
      <c r="AG32" s="212" t="s">
        <v>199</v>
      </c>
      <c r="AH32" s="56" t="s">
        <v>241</v>
      </c>
      <c r="AI32" s="150">
        <v>12</v>
      </c>
      <c r="AJ32" s="145"/>
      <c r="AK32" s="145"/>
    </row>
    <row r="33" spans="1:37" s="159" customFormat="1" ht="15">
      <c r="A33" s="32" t="s">
        <v>181</v>
      </c>
      <c r="B33" s="219" t="str">
        <f>+modsalario2021!B34</f>
        <v>AD</v>
      </c>
      <c r="C33" s="282">
        <f>+modsalario2021!C34</f>
        <v>71978248525</v>
      </c>
      <c r="D33" s="257">
        <f>+modsalario2021!D34</f>
        <v>0</v>
      </c>
      <c r="E33" s="283" t="str">
        <f>+modsalario2021!E34</f>
        <v>LOJF8210195Y2</v>
      </c>
      <c r="F33" s="283" t="str">
        <f>+modsalario2021!F34</f>
        <v>LOJF821019HCSPNB08</v>
      </c>
      <c r="G33" s="146">
        <f>+modsalario2021!I34</f>
        <v>142.5</v>
      </c>
      <c r="H33" s="146">
        <f>+modsalario2021!Q34</f>
        <v>159.14301369863014</v>
      </c>
      <c r="I33" s="147">
        <v>7</v>
      </c>
      <c r="J33" s="148">
        <f t="shared" si="12"/>
        <v>997.5</v>
      </c>
      <c r="K33" s="148"/>
      <c r="L33" s="148">
        <f t="shared" si="2"/>
        <v>99.75</v>
      </c>
      <c r="M33" s="197"/>
      <c r="N33" s="148"/>
      <c r="O33" s="148"/>
      <c r="P33" s="148"/>
      <c r="Q33" s="148"/>
      <c r="R33" s="148"/>
      <c r="S33" s="199">
        <f t="shared" si="9"/>
        <v>1097.25</v>
      </c>
      <c r="T33" s="146">
        <f>+ISRAbril2021!O104-ISRAbril2021!O60</f>
        <v>182.04247999999998</v>
      </c>
      <c r="U33" s="146">
        <f>+ISRAbril2021!P104-ISRAbril2021!P60</f>
        <v>294.4</v>
      </c>
      <c r="V33" s="146"/>
      <c r="W33" s="146">
        <f t="shared" si="10"/>
        <v>-112.35752</v>
      </c>
      <c r="X33" s="146">
        <f>+'COP TUXTLA'!V37</f>
        <v>57.63961027397261</v>
      </c>
      <c r="Y33" s="31"/>
      <c r="Z33" s="146"/>
      <c r="AA33" s="146">
        <f>SUM(V33:Z33)</f>
        <v>-54.717909726027386</v>
      </c>
      <c r="AB33" s="198">
        <f>S33-AA33</f>
        <v>1151.9679097260273</v>
      </c>
      <c r="AC33" s="146"/>
      <c r="AD33" s="146"/>
      <c r="AE33" s="146"/>
      <c r="AF33" s="210">
        <f t="shared" si="13"/>
        <v>1151.9679097260273</v>
      </c>
      <c r="AG33" s="212" t="s">
        <v>199</v>
      </c>
      <c r="AH33" s="56"/>
      <c r="AI33" s="150">
        <v>13</v>
      </c>
      <c r="AJ33" s="145"/>
      <c r="AK33" s="145"/>
    </row>
    <row r="34" spans="1:37" ht="15">
      <c r="A34" s="32" t="s">
        <v>181</v>
      </c>
      <c r="B34" s="219" t="str">
        <f>+modsalario2021!B35</f>
        <v>AC</v>
      </c>
      <c r="C34" s="282" t="str">
        <f>+modsalario2021!C35</f>
        <v>06139634031</v>
      </c>
      <c r="D34" s="257">
        <f>+modsalario2021!D35</f>
        <v>0</v>
      </c>
      <c r="E34" s="283" t="str">
        <f>+modsalario2021!E35</f>
        <v>GOVP960704851</v>
      </c>
      <c r="F34" s="283" t="str">
        <f>+modsalario2021!F35</f>
        <v>GOVP960704MCSNRL04</v>
      </c>
      <c r="G34" s="146">
        <f>+modsalario2021!I35</f>
        <v>142.5</v>
      </c>
      <c r="H34" s="146">
        <f>+modsalario2021!Q35</f>
        <v>159.14301369863014</v>
      </c>
      <c r="I34" s="147">
        <v>7</v>
      </c>
      <c r="J34" s="148">
        <f t="shared" si="12"/>
        <v>997.5</v>
      </c>
      <c r="K34" s="148"/>
      <c r="L34" s="148">
        <f t="shared" si="2"/>
        <v>99.75</v>
      </c>
      <c r="M34" s="197"/>
      <c r="N34" s="148"/>
      <c r="O34" s="148"/>
      <c r="P34" s="148"/>
      <c r="Q34" s="148"/>
      <c r="R34" s="148"/>
      <c r="S34" s="199">
        <f t="shared" si="9"/>
        <v>1097.25</v>
      </c>
      <c r="T34" s="146">
        <f>+ISRAbril2021!O105-ISRAbril2021!O61</f>
        <v>182.04247999999998</v>
      </c>
      <c r="U34" s="146">
        <f>+ISRAbril2021!P105-ISRAbril2021!P61</f>
        <v>294.4</v>
      </c>
      <c r="V34" s="146"/>
      <c r="W34" s="146">
        <v>-48.23</v>
      </c>
      <c r="X34" s="146">
        <f>+'COP TUXTLA'!V38</f>
        <v>57.63961027397261</v>
      </c>
      <c r="Y34" s="146"/>
      <c r="Z34" s="146"/>
      <c r="AA34" s="146">
        <f t="shared" si="4"/>
        <v>9.40961027397261</v>
      </c>
      <c r="AB34" s="198">
        <f t="shared" si="11"/>
        <v>1087.8403897260273</v>
      </c>
      <c r="AC34" s="146">
        <v>0</v>
      </c>
      <c r="AD34" s="146">
        <v>0</v>
      </c>
      <c r="AE34" s="146">
        <f>AC34+AD34</f>
        <v>0</v>
      </c>
      <c r="AF34" s="210">
        <f t="shared" si="13"/>
        <v>1087.8403897260273</v>
      </c>
      <c r="AG34" s="212" t="s">
        <v>199</v>
      </c>
      <c r="AH34" s="150"/>
      <c r="AI34" s="150">
        <v>14</v>
      </c>
      <c r="AJ34" s="145"/>
      <c r="AK34" s="145"/>
    </row>
    <row r="35" spans="1:33" ht="15">
      <c r="A35" s="152"/>
      <c r="B35" s="145"/>
      <c r="C35" s="145"/>
      <c r="D35" s="145"/>
      <c r="E35" s="150"/>
      <c r="F35" s="150"/>
      <c r="G35" s="154">
        <f>SUM(G7:G34)</f>
        <v>4570.665000000001</v>
      </c>
      <c r="H35" s="154">
        <f>SUM(H7:H34)</f>
        <v>5079.967770965778</v>
      </c>
      <c r="I35" s="193"/>
      <c r="J35" s="154">
        <f aca="true" t="shared" si="14" ref="J35:AF35">SUM(J7:J34)</f>
        <v>30888.48</v>
      </c>
      <c r="K35" s="154">
        <f t="shared" si="14"/>
        <v>0</v>
      </c>
      <c r="L35" s="154">
        <f t="shared" si="14"/>
        <v>3088.8479999999995</v>
      </c>
      <c r="M35" s="154">
        <f t="shared" si="14"/>
        <v>0</v>
      </c>
      <c r="N35" s="154">
        <f t="shared" si="14"/>
        <v>0</v>
      </c>
      <c r="O35" s="154">
        <f t="shared" si="14"/>
        <v>0</v>
      </c>
      <c r="P35" s="154">
        <f t="shared" si="14"/>
        <v>0</v>
      </c>
      <c r="Q35" s="154">
        <f t="shared" si="14"/>
        <v>0</v>
      </c>
      <c r="R35" s="154">
        <f t="shared" si="14"/>
        <v>0</v>
      </c>
      <c r="S35" s="154">
        <f t="shared" si="14"/>
        <v>33977.327999999994</v>
      </c>
      <c r="T35" s="154">
        <f t="shared" si="14"/>
        <v>6200.0249376</v>
      </c>
      <c r="U35" s="154">
        <f t="shared" si="14"/>
        <v>6800.6</v>
      </c>
      <c r="V35" s="154">
        <f t="shared" si="14"/>
        <v>478.46996159999946</v>
      </c>
      <c r="W35" s="154">
        <f t="shared" si="14"/>
        <v>-982.2141645714289</v>
      </c>
      <c r="X35" s="154">
        <f t="shared" si="14"/>
        <v>1842.7757084722712</v>
      </c>
      <c r="Y35" s="154">
        <f t="shared" si="14"/>
        <v>0</v>
      </c>
      <c r="Z35" s="154">
        <f t="shared" si="14"/>
        <v>680</v>
      </c>
      <c r="AA35" s="154">
        <f t="shared" si="14"/>
        <v>2019.0315055008418</v>
      </c>
      <c r="AB35" s="154">
        <f t="shared" si="14"/>
        <v>31958.296494499158</v>
      </c>
      <c r="AC35" s="154">
        <f t="shared" si="14"/>
        <v>4050</v>
      </c>
      <c r="AD35" s="154">
        <f t="shared" si="14"/>
        <v>2595.05</v>
      </c>
      <c r="AE35" s="154">
        <f t="shared" si="14"/>
        <v>6645.049999999999</v>
      </c>
      <c r="AF35" s="154">
        <f t="shared" si="14"/>
        <v>25313.24649449916</v>
      </c>
      <c r="AG35" s="145"/>
    </row>
    <row r="36" spans="9:10" ht="15">
      <c r="I36" s="262"/>
      <c r="J36" s="173"/>
    </row>
    <row r="38" spans="7:11" ht="15">
      <c r="G38" s="157"/>
      <c r="H38" s="159"/>
      <c r="I38" s="159"/>
      <c r="J38" s="159"/>
      <c r="K38" s="159"/>
    </row>
    <row r="39" ht="15">
      <c r="U39" s="181">
        <f>+W34+'3a semana'!X34</f>
        <v>-79.07824</v>
      </c>
    </row>
    <row r="40" spans="13:17" ht="15">
      <c r="M40" s="173"/>
      <c r="N40" s="173"/>
      <c r="O40" s="173"/>
      <c r="P40" s="173"/>
      <c r="Q40" s="173"/>
    </row>
    <row r="41" spans="13:17" ht="15">
      <c r="M41" s="173"/>
      <c r="N41" s="173"/>
      <c r="O41" s="173"/>
      <c r="P41" s="173"/>
      <c r="Q41" s="173"/>
    </row>
    <row r="42" spans="13:17" ht="15">
      <c r="M42" s="173"/>
      <c r="N42" s="173"/>
      <c r="O42" s="173"/>
      <c r="P42" s="173"/>
      <c r="Q42" s="173"/>
    </row>
  </sheetData>
  <sheetProtection/>
  <mergeCells count="20">
    <mergeCell ref="AB4:AB5"/>
    <mergeCell ref="G4:G5"/>
    <mergeCell ref="H4:H5"/>
    <mergeCell ref="AC4:AE4"/>
    <mergeCell ref="A6:B6"/>
    <mergeCell ref="I4:I5"/>
    <mergeCell ref="J4:R4"/>
    <mergeCell ref="S4:S5"/>
    <mergeCell ref="T4:Z4"/>
    <mergeCell ref="AA4:AA5"/>
    <mergeCell ref="AF4:AF5"/>
    <mergeCell ref="AG4:AG5"/>
    <mergeCell ref="A2:I2"/>
    <mergeCell ref="A3:I3"/>
    <mergeCell ref="A4:A5"/>
    <mergeCell ref="B4:B5"/>
    <mergeCell ref="C4:C5"/>
    <mergeCell ref="D4:D5"/>
    <mergeCell ref="E4:E5"/>
    <mergeCell ref="F4:F5"/>
  </mergeCells>
  <printOptions/>
  <pageMargins left="1.299212598425197" right="0.7086614173228347" top="0.5905511811023623" bottom="0.5905511811023623" header="0.31496062992125984" footer="0.31496062992125984"/>
  <pageSetup fitToHeight="0" fitToWidth="1" horizontalDpi="600" verticalDpi="600" orientation="landscape" scale="2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zoomScale="110" zoomScaleNormal="110" zoomScalePageLayoutView="0" workbookViewId="0" topLeftCell="A13">
      <pane xSplit="2" topLeftCell="O1" activePane="topRight" state="frozen"/>
      <selection pane="topLeft" activeCell="A67" sqref="A67"/>
      <selection pane="topRight" activeCell="B36" sqref="B36"/>
    </sheetView>
  </sheetViews>
  <sheetFormatPr defaultColWidth="11.421875" defaultRowHeight="15"/>
  <cols>
    <col min="1" max="1" width="11.421875" style="214" customWidth="1"/>
    <col min="2" max="2" width="50.140625" style="214" customWidth="1"/>
    <col min="3" max="3" width="13.8515625" style="214" customWidth="1"/>
    <col min="4" max="4" width="11.421875" style="214" customWidth="1"/>
    <col min="5" max="5" width="17.57421875" style="214" customWidth="1"/>
    <col min="6" max="6" width="24.28125" style="214" customWidth="1"/>
    <col min="7" max="9" width="11.421875" style="214" customWidth="1"/>
    <col min="10" max="10" width="13.57421875" style="214" customWidth="1"/>
    <col min="11" max="11" width="14.28125" style="214" customWidth="1"/>
    <col min="12" max="13" width="11.421875" style="214" customWidth="1"/>
    <col min="14" max="15" width="13.28125" style="214" customWidth="1"/>
    <col min="16" max="22" width="11.421875" style="214" customWidth="1"/>
    <col min="23" max="23" width="44.57421875" style="214" bestFit="1" customWidth="1"/>
    <col min="24" max="24" width="13.57421875" style="214" bestFit="1" customWidth="1"/>
    <col min="25" max="25" width="11.421875" style="214" customWidth="1"/>
    <col min="26" max="26" width="27.57421875" style="214" customWidth="1"/>
    <col min="27" max="27" width="22.140625" style="214" customWidth="1"/>
    <col min="28" max="16384" width="11.421875" style="214" customWidth="1"/>
  </cols>
  <sheetData>
    <row r="1" ht="15">
      <c r="B1" s="232" t="s">
        <v>219</v>
      </c>
    </row>
    <row r="2" spans="1:6" ht="15" customHeight="1">
      <c r="A2" s="236"/>
      <c r="B2" s="236"/>
      <c r="C2" s="236"/>
      <c r="D2" s="236"/>
      <c r="E2" s="236"/>
      <c r="F2" s="236"/>
    </row>
    <row r="3" spans="1:20" ht="63.75">
      <c r="A3" s="234" t="s">
        <v>33</v>
      </c>
      <c r="B3" s="234" t="s">
        <v>34</v>
      </c>
      <c r="C3" s="234" t="s">
        <v>37</v>
      </c>
      <c r="D3" s="234" t="s">
        <v>38</v>
      </c>
      <c r="E3" s="234" t="s">
        <v>31</v>
      </c>
      <c r="F3" s="234" t="s">
        <v>35</v>
      </c>
      <c r="G3" s="234" t="s">
        <v>179</v>
      </c>
      <c r="H3" s="234" t="s">
        <v>194</v>
      </c>
      <c r="I3" s="234" t="s">
        <v>218</v>
      </c>
      <c r="J3" s="234" t="s">
        <v>217</v>
      </c>
      <c r="K3" s="234" t="s">
        <v>63</v>
      </c>
      <c r="L3" s="234" t="s">
        <v>161</v>
      </c>
      <c r="M3" s="234" t="s">
        <v>162</v>
      </c>
      <c r="N3" s="234" t="s">
        <v>64</v>
      </c>
      <c r="O3" s="234" t="s">
        <v>65</v>
      </c>
      <c r="P3" s="234" t="s">
        <v>66</v>
      </c>
      <c r="Q3" s="234" t="s">
        <v>203</v>
      </c>
      <c r="R3" s="234" t="s">
        <v>290</v>
      </c>
      <c r="S3" s="241" t="s">
        <v>207</v>
      </c>
      <c r="T3" s="241" t="s">
        <v>207</v>
      </c>
    </row>
    <row r="4" spans="1:29" ht="15">
      <c r="A4" s="215"/>
      <c r="B4" s="225" t="s">
        <v>254</v>
      </c>
      <c r="C4" s="264">
        <v>71027104935</v>
      </c>
      <c r="D4" s="265">
        <v>0</v>
      </c>
      <c r="E4" s="266" t="s">
        <v>180</v>
      </c>
      <c r="F4" s="266" t="s">
        <v>76</v>
      </c>
      <c r="G4" s="217">
        <v>150.5</v>
      </c>
      <c r="H4" s="204">
        <v>158.03</v>
      </c>
      <c r="I4" s="204">
        <v>176.07</v>
      </c>
      <c r="J4" s="221">
        <v>2844.45</v>
      </c>
      <c r="K4" s="221">
        <f aca="true" t="shared" si="0" ref="K4:K12">+J4/H4</f>
        <v>17.999430487882048</v>
      </c>
      <c r="L4" s="233">
        <f>K4/365</f>
        <v>0.04931350818597821</v>
      </c>
      <c r="M4" s="233">
        <f>(1*16*25%)/365</f>
        <v>0.010958904109589041</v>
      </c>
      <c r="N4" s="233">
        <f>1+L4+M4</f>
        <v>1.0602724122955671</v>
      </c>
      <c r="O4" s="221">
        <f>N4*I4</f>
        <v>186.6821636328805</v>
      </c>
      <c r="P4" s="221">
        <v>9.03</v>
      </c>
      <c r="Q4" s="204">
        <f>O4+P4</f>
        <v>195.7121636328805</v>
      </c>
      <c r="R4" s="237">
        <v>40087</v>
      </c>
      <c r="S4" s="238"/>
      <c r="T4" s="238">
        <v>44136</v>
      </c>
      <c r="AB4" s="235"/>
      <c r="AC4" s="235"/>
    </row>
    <row r="5" spans="1:29" ht="15">
      <c r="A5" s="215"/>
      <c r="B5" s="225" t="s">
        <v>255</v>
      </c>
      <c r="C5" s="264">
        <v>71068906206</v>
      </c>
      <c r="D5" s="265">
        <v>0</v>
      </c>
      <c r="E5" s="266" t="s">
        <v>182</v>
      </c>
      <c r="F5" s="266" t="s">
        <v>159</v>
      </c>
      <c r="G5" s="217">
        <v>150.5</v>
      </c>
      <c r="H5" s="204">
        <v>158.03</v>
      </c>
      <c r="I5" s="204">
        <v>176.07</v>
      </c>
      <c r="J5" s="221">
        <v>2844.45</v>
      </c>
      <c r="K5" s="221">
        <f t="shared" si="0"/>
        <v>17.999430487882048</v>
      </c>
      <c r="L5" s="233">
        <f aca="true" t="shared" si="1" ref="L5:L22">K5/365</f>
        <v>0.04931350818597821</v>
      </c>
      <c r="M5" s="233">
        <f>(1*16*25%)/365</f>
        <v>0.010958904109589041</v>
      </c>
      <c r="N5" s="233">
        <f aca="true" t="shared" si="2" ref="N5:N22">1+L5+M5</f>
        <v>1.0602724122955671</v>
      </c>
      <c r="O5" s="221">
        <f aca="true" t="shared" si="3" ref="O5:O22">N5*I5</f>
        <v>186.6821636328805</v>
      </c>
      <c r="P5" s="221">
        <v>9.03</v>
      </c>
      <c r="Q5" s="204">
        <f aca="true" t="shared" si="4" ref="Q5:Q22">O5+P5</f>
        <v>195.7121636328805</v>
      </c>
      <c r="R5" s="237">
        <v>41526</v>
      </c>
      <c r="S5" s="238"/>
      <c r="T5" s="238">
        <v>44136</v>
      </c>
      <c r="AB5" s="235"/>
      <c r="AC5" s="235"/>
    </row>
    <row r="6" spans="1:29" ht="15">
      <c r="A6" s="215"/>
      <c r="B6" s="225" t="s">
        <v>256</v>
      </c>
      <c r="C6" s="264">
        <v>71088919221</v>
      </c>
      <c r="D6" s="265">
        <v>0</v>
      </c>
      <c r="E6" s="266" t="s">
        <v>71</v>
      </c>
      <c r="F6" s="266" t="s">
        <v>72</v>
      </c>
      <c r="G6" s="217">
        <v>150.5</v>
      </c>
      <c r="H6" s="204">
        <v>158.03</v>
      </c>
      <c r="I6" s="204">
        <v>158.025</v>
      </c>
      <c r="J6" s="221">
        <v>2844.45</v>
      </c>
      <c r="K6" s="221">
        <f t="shared" si="0"/>
        <v>17.999430487882048</v>
      </c>
      <c r="L6" s="233">
        <f t="shared" si="1"/>
        <v>0.04931350818597821</v>
      </c>
      <c r="M6" s="233">
        <f>(1*16*25%)/365</f>
        <v>0.010958904109589041</v>
      </c>
      <c r="N6" s="233">
        <f t="shared" si="2"/>
        <v>1.0602724122955671</v>
      </c>
      <c r="O6" s="221">
        <f t="shared" si="3"/>
        <v>167.549547953007</v>
      </c>
      <c r="P6" s="221">
        <v>9.03</v>
      </c>
      <c r="Q6" s="204">
        <f t="shared" si="4"/>
        <v>176.579547953007</v>
      </c>
      <c r="R6" s="237">
        <v>40187</v>
      </c>
      <c r="S6" s="238"/>
      <c r="T6" s="238">
        <v>44136</v>
      </c>
      <c r="AB6" s="235"/>
      <c r="AC6" s="235"/>
    </row>
    <row r="7" spans="1:29" ht="15">
      <c r="A7" s="215"/>
      <c r="B7" s="225" t="s">
        <v>257</v>
      </c>
      <c r="C7" s="264">
        <v>71038419710</v>
      </c>
      <c r="D7" s="265">
        <v>0</v>
      </c>
      <c r="E7" s="266" t="s">
        <v>74</v>
      </c>
      <c r="F7" s="266" t="s">
        <v>79</v>
      </c>
      <c r="G7" s="217">
        <v>150.5</v>
      </c>
      <c r="H7" s="204">
        <v>158.03</v>
      </c>
      <c r="I7" s="204">
        <v>176.07</v>
      </c>
      <c r="J7" s="221">
        <v>2844.45</v>
      </c>
      <c r="K7" s="221">
        <f t="shared" si="0"/>
        <v>17.999430487882048</v>
      </c>
      <c r="L7" s="233">
        <f t="shared" si="1"/>
        <v>0.04931350818597821</v>
      </c>
      <c r="M7" s="233">
        <f>(1*16*25%)/365</f>
        <v>0.010958904109589041</v>
      </c>
      <c r="N7" s="233">
        <f t="shared" si="2"/>
        <v>1.0602724122955671</v>
      </c>
      <c r="O7" s="221">
        <f t="shared" si="3"/>
        <v>186.6821636328805</v>
      </c>
      <c r="P7" s="221">
        <v>9.03</v>
      </c>
      <c r="Q7" s="204">
        <f t="shared" si="4"/>
        <v>195.7121636328805</v>
      </c>
      <c r="R7" s="237">
        <v>40187</v>
      </c>
      <c r="S7" s="238"/>
      <c r="T7" s="238">
        <v>44136</v>
      </c>
      <c r="AB7" s="235"/>
      <c r="AC7" s="235"/>
    </row>
    <row r="8" spans="1:29" ht="15">
      <c r="A8" s="215"/>
      <c r="B8" s="225" t="s">
        <v>258</v>
      </c>
      <c r="C8" s="267">
        <v>71937835008</v>
      </c>
      <c r="D8" s="265">
        <v>0</v>
      </c>
      <c r="E8" s="266" t="s">
        <v>165</v>
      </c>
      <c r="F8" s="266" t="s">
        <v>164</v>
      </c>
      <c r="G8" s="217">
        <v>137.35</v>
      </c>
      <c r="H8" s="204">
        <v>144.22</v>
      </c>
      <c r="I8" s="204">
        <v>162</v>
      </c>
      <c r="J8" s="221">
        <v>2595.92</v>
      </c>
      <c r="K8" s="221">
        <f t="shared" si="0"/>
        <v>17.999722645957565</v>
      </c>
      <c r="L8" s="233">
        <f t="shared" si="1"/>
        <v>0.049314308619061824</v>
      </c>
      <c r="M8" s="233">
        <f>(1*14*25%)/365</f>
        <v>0.009589041095890411</v>
      </c>
      <c r="N8" s="233">
        <f t="shared" si="2"/>
        <v>1.058903349714952</v>
      </c>
      <c r="O8" s="221">
        <f t="shared" si="3"/>
        <v>171.54234265382223</v>
      </c>
      <c r="P8" s="221">
        <v>9.03</v>
      </c>
      <c r="Q8" s="204">
        <f t="shared" si="4"/>
        <v>180.57234265382223</v>
      </c>
      <c r="R8" s="237">
        <v>41904</v>
      </c>
      <c r="S8" s="238"/>
      <c r="T8" s="238">
        <v>44136</v>
      </c>
      <c r="AB8" s="235"/>
      <c r="AC8" s="235"/>
    </row>
    <row r="9" spans="1:29" ht="15">
      <c r="A9" s="215"/>
      <c r="B9" s="225" t="s">
        <v>259</v>
      </c>
      <c r="C9" s="267">
        <v>71927247842</v>
      </c>
      <c r="D9" s="265">
        <v>0</v>
      </c>
      <c r="E9" s="266" t="s">
        <v>183</v>
      </c>
      <c r="F9" s="266" t="s">
        <v>152</v>
      </c>
      <c r="G9" s="217">
        <v>138.05</v>
      </c>
      <c r="H9" s="204">
        <v>144.95</v>
      </c>
      <c r="I9" s="204">
        <v>176.07</v>
      </c>
      <c r="J9" s="221">
        <v>2609.15</v>
      </c>
      <c r="K9" s="221">
        <f t="shared" si="0"/>
        <v>18.00034494653329</v>
      </c>
      <c r="L9" s="233">
        <f t="shared" si="1"/>
        <v>0.049316013552145994</v>
      </c>
      <c r="M9" s="233">
        <f>(1*16*25%)/365</f>
        <v>0.010958904109589041</v>
      </c>
      <c r="N9" s="233">
        <f t="shared" si="2"/>
        <v>1.060274917661735</v>
      </c>
      <c r="O9" s="221">
        <f t="shared" si="3"/>
        <v>186.68260475270168</v>
      </c>
      <c r="P9" s="221">
        <v>9.03</v>
      </c>
      <c r="Q9" s="204">
        <f t="shared" si="4"/>
        <v>195.71260475270168</v>
      </c>
      <c r="R9" s="237">
        <v>41105</v>
      </c>
      <c r="S9" s="238"/>
      <c r="T9" s="238">
        <v>44136</v>
      </c>
      <c r="AB9" s="235"/>
      <c r="AC9" s="235"/>
    </row>
    <row r="10" spans="1:29" ht="15">
      <c r="A10" s="203"/>
      <c r="B10" s="225" t="s">
        <v>260</v>
      </c>
      <c r="C10" s="267">
        <v>71008312234</v>
      </c>
      <c r="D10" s="268">
        <v>0</v>
      </c>
      <c r="E10" s="266" t="s">
        <v>73</v>
      </c>
      <c r="F10" s="266" t="s">
        <v>78</v>
      </c>
      <c r="G10" s="217">
        <v>150.5</v>
      </c>
      <c r="H10" s="204">
        <v>158.03</v>
      </c>
      <c r="I10" s="204">
        <v>176.07</v>
      </c>
      <c r="J10" s="221">
        <v>2844.45</v>
      </c>
      <c r="K10" s="221">
        <f t="shared" si="0"/>
        <v>17.999430487882048</v>
      </c>
      <c r="L10" s="233">
        <f t="shared" si="1"/>
        <v>0.04931350818597821</v>
      </c>
      <c r="M10" s="233">
        <f>(1*14*25%)/365</f>
        <v>0.009589041095890411</v>
      </c>
      <c r="N10" s="233">
        <f t="shared" si="2"/>
        <v>1.0589025492818684</v>
      </c>
      <c r="O10" s="221">
        <f t="shared" si="3"/>
        <v>186.44097185205857</v>
      </c>
      <c r="P10" s="221">
        <v>9.03</v>
      </c>
      <c r="Q10" s="204">
        <f t="shared" si="4"/>
        <v>195.47097185205857</v>
      </c>
      <c r="R10" s="237">
        <v>42385</v>
      </c>
      <c r="S10" s="238"/>
      <c r="T10" s="238">
        <v>44136</v>
      </c>
      <c r="AB10" s="235"/>
      <c r="AC10" s="235"/>
    </row>
    <row r="11" spans="1:29" ht="15">
      <c r="A11" s="203"/>
      <c r="B11" s="225" t="s">
        <v>261</v>
      </c>
      <c r="C11" s="267">
        <v>75169672997</v>
      </c>
      <c r="D11" s="268">
        <v>0</v>
      </c>
      <c r="E11" s="266" t="s">
        <v>171</v>
      </c>
      <c r="F11" s="266" t="s">
        <v>172</v>
      </c>
      <c r="G11" s="217">
        <v>102.68</v>
      </c>
      <c r="H11" s="204">
        <v>107.81</v>
      </c>
      <c r="I11" s="204">
        <v>152.42</v>
      </c>
      <c r="J11" s="221">
        <v>1940.65</v>
      </c>
      <c r="K11" s="221">
        <f t="shared" si="0"/>
        <v>18.00064929041833</v>
      </c>
      <c r="L11" s="233">
        <f t="shared" si="1"/>
        <v>0.04931684737100912</v>
      </c>
      <c r="M11" s="233">
        <f>(1*14*25%)/365</f>
        <v>0.009589041095890411</v>
      </c>
      <c r="N11" s="233">
        <f t="shared" si="2"/>
        <v>1.0589058884668994</v>
      </c>
      <c r="O11" s="221">
        <f t="shared" si="3"/>
        <v>161.3984355201248</v>
      </c>
      <c r="P11" s="221">
        <v>9.03</v>
      </c>
      <c r="Q11" s="204">
        <f t="shared" si="4"/>
        <v>170.4284355201248</v>
      </c>
      <c r="R11" s="237">
        <v>42537</v>
      </c>
      <c r="S11" s="238"/>
      <c r="T11" s="238">
        <v>44136</v>
      </c>
      <c r="AB11" s="235"/>
      <c r="AC11" s="235"/>
    </row>
    <row r="12" spans="1:29" ht="15">
      <c r="A12" s="203"/>
      <c r="B12" s="225" t="s">
        <v>262</v>
      </c>
      <c r="C12" s="267">
        <v>71927733593</v>
      </c>
      <c r="D12" s="268"/>
      <c r="E12" s="266" t="s">
        <v>173</v>
      </c>
      <c r="F12" s="266" t="s">
        <v>174</v>
      </c>
      <c r="G12" s="217">
        <v>231.9</v>
      </c>
      <c r="H12" s="204">
        <v>158.03</v>
      </c>
      <c r="I12" s="204">
        <v>176.07</v>
      </c>
      <c r="J12" s="217">
        <v>2844.54</v>
      </c>
      <c r="K12" s="221">
        <f t="shared" si="0"/>
        <v>18</v>
      </c>
      <c r="L12" s="233">
        <f t="shared" si="1"/>
        <v>0.049315068493150684</v>
      </c>
      <c r="M12" s="233">
        <f>(1*8*25%)/365</f>
        <v>0.005479452054794521</v>
      </c>
      <c r="N12" s="233">
        <f t="shared" si="2"/>
        <v>1.0547945205479452</v>
      </c>
      <c r="O12" s="221">
        <f t="shared" si="3"/>
        <v>185.7176712328767</v>
      </c>
      <c r="P12" s="221">
        <v>9.03</v>
      </c>
      <c r="Q12" s="204">
        <f t="shared" si="4"/>
        <v>194.7476712328767</v>
      </c>
      <c r="R12" s="237">
        <v>43709</v>
      </c>
      <c r="S12" s="238"/>
      <c r="T12" s="238">
        <v>44136</v>
      </c>
      <c r="AB12" s="235"/>
      <c r="AC12" s="235"/>
    </row>
    <row r="13" spans="2:29" ht="15">
      <c r="B13" s="225" t="s">
        <v>263</v>
      </c>
      <c r="C13" s="269">
        <v>71108817504</v>
      </c>
      <c r="D13" s="268">
        <v>0</v>
      </c>
      <c r="E13" s="266" t="s">
        <v>153</v>
      </c>
      <c r="F13" s="266" t="s">
        <v>160</v>
      </c>
      <c r="G13" s="217">
        <v>115.55</v>
      </c>
      <c r="H13" s="204">
        <v>144.95</v>
      </c>
      <c r="I13" s="204">
        <v>176.07</v>
      </c>
      <c r="J13" s="217">
        <v>2466.182876712329</v>
      </c>
      <c r="K13" s="221">
        <v>18</v>
      </c>
      <c r="L13" s="233">
        <f t="shared" si="1"/>
        <v>0.049315068493150684</v>
      </c>
      <c r="M13" s="233">
        <f>(1*10*25%)/365</f>
        <v>0.00684931506849315</v>
      </c>
      <c r="N13" s="233">
        <f t="shared" si="2"/>
        <v>1.0561643835616439</v>
      </c>
      <c r="O13" s="221">
        <f t="shared" si="3"/>
        <v>185.95886301369862</v>
      </c>
      <c r="P13" s="221">
        <v>9.03</v>
      </c>
      <c r="Q13" s="223">
        <f t="shared" si="4"/>
        <v>194.98886301369862</v>
      </c>
      <c r="R13" s="237">
        <v>43486</v>
      </c>
      <c r="S13" s="238"/>
      <c r="T13" s="238">
        <v>44136</v>
      </c>
      <c r="AB13" s="235"/>
      <c r="AC13" s="235"/>
    </row>
    <row r="14" spans="2:29" ht="15">
      <c r="B14" s="225" t="s">
        <v>264</v>
      </c>
      <c r="C14" s="267" t="s">
        <v>184</v>
      </c>
      <c r="D14" s="268">
        <v>0</v>
      </c>
      <c r="E14" s="266" t="s">
        <v>177</v>
      </c>
      <c r="F14" s="266" t="s">
        <v>178</v>
      </c>
      <c r="G14" s="217">
        <v>138.05</v>
      </c>
      <c r="H14" s="204">
        <v>243.5</v>
      </c>
      <c r="I14" s="204">
        <v>283</v>
      </c>
      <c r="J14" s="217">
        <v>4382.91</v>
      </c>
      <c r="K14" s="221">
        <f>+J14/H14</f>
        <v>17.999630390143736</v>
      </c>
      <c r="L14" s="233">
        <f t="shared" si="1"/>
        <v>0.049314055863407494</v>
      </c>
      <c r="M14" s="233">
        <f>(1*10*25%)/365</f>
        <v>0.00684931506849315</v>
      </c>
      <c r="N14" s="233">
        <f t="shared" si="2"/>
        <v>1.0561633709319007</v>
      </c>
      <c r="O14" s="221">
        <f t="shared" si="3"/>
        <v>298.8942339737279</v>
      </c>
      <c r="P14" s="221">
        <v>9.03</v>
      </c>
      <c r="Q14" s="223">
        <f t="shared" si="4"/>
        <v>307.9242339737279</v>
      </c>
      <c r="R14" s="237">
        <v>43132</v>
      </c>
      <c r="S14" s="238"/>
      <c r="T14" s="238">
        <v>44136</v>
      </c>
      <c r="AB14" s="235"/>
      <c r="AC14" s="235"/>
    </row>
    <row r="15" spans="2:29" ht="15">
      <c r="B15" s="225" t="s">
        <v>277</v>
      </c>
      <c r="C15" s="267" t="s">
        <v>185</v>
      </c>
      <c r="D15" s="268">
        <v>0</v>
      </c>
      <c r="E15" s="266" t="s">
        <v>187</v>
      </c>
      <c r="F15" s="266" t="s">
        <v>186</v>
      </c>
      <c r="G15" s="217">
        <v>115.55</v>
      </c>
      <c r="H15" s="204">
        <v>144.22</v>
      </c>
      <c r="I15" s="204">
        <v>176.07</v>
      </c>
      <c r="J15" s="217">
        <v>2595.96</v>
      </c>
      <c r="K15" s="221">
        <f>+J15/H15</f>
        <v>18</v>
      </c>
      <c r="L15" s="233">
        <f t="shared" si="1"/>
        <v>0.049315068493150684</v>
      </c>
      <c r="M15" s="233">
        <f>(1*10*25%)/365</f>
        <v>0.00684931506849315</v>
      </c>
      <c r="N15" s="233">
        <f t="shared" si="2"/>
        <v>1.0561643835616439</v>
      </c>
      <c r="O15" s="221">
        <f t="shared" si="3"/>
        <v>185.95886301369862</v>
      </c>
      <c r="P15" s="221">
        <v>9.03</v>
      </c>
      <c r="Q15" s="223">
        <f t="shared" si="4"/>
        <v>194.98886301369862</v>
      </c>
      <c r="R15" s="237">
        <v>43147</v>
      </c>
      <c r="S15" s="238"/>
      <c r="T15" s="238">
        <v>44136</v>
      </c>
      <c r="AB15" s="235"/>
      <c r="AC15" s="235"/>
    </row>
    <row r="16" spans="2:29" ht="15">
      <c r="B16" s="225" t="s">
        <v>278</v>
      </c>
      <c r="C16" s="267">
        <v>71027901744</v>
      </c>
      <c r="D16" s="268">
        <v>0</v>
      </c>
      <c r="E16" s="266" t="s">
        <v>189</v>
      </c>
      <c r="F16" s="266" t="s">
        <v>188</v>
      </c>
      <c r="G16" s="217">
        <v>103.35</v>
      </c>
      <c r="H16" s="204">
        <v>144.95</v>
      </c>
      <c r="I16" s="204">
        <v>152.42</v>
      </c>
      <c r="J16" s="217">
        <v>2609.15</v>
      </c>
      <c r="K16" s="221">
        <f>+J16/H16</f>
        <v>18.00034494653329</v>
      </c>
      <c r="L16" s="233">
        <f t="shared" si="1"/>
        <v>0.049316013552145994</v>
      </c>
      <c r="M16" s="233">
        <f>(1*10*25%)/365</f>
        <v>0.00684931506849315</v>
      </c>
      <c r="N16" s="233">
        <f t="shared" si="2"/>
        <v>1.0561653286206392</v>
      </c>
      <c r="O16" s="221">
        <f t="shared" si="3"/>
        <v>160.9807193883578</v>
      </c>
      <c r="P16" s="221">
        <v>9.03</v>
      </c>
      <c r="Q16" s="223">
        <f t="shared" si="4"/>
        <v>170.0107193883578</v>
      </c>
      <c r="R16" s="237">
        <v>43148</v>
      </c>
      <c r="S16" s="238"/>
      <c r="T16" s="238">
        <v>44136</v>
      </c>
      <c r="AB16" s="235"/>
      <c r="AC16" s="235"/>
    </row>
    <row r="17" spans="2:29" ht="15">
      <c r="B17" s="225" t="s">
        <v>265</v>
      </c>
      <c r="C17" s="267">
        <v>71109015314</v>
      </c>
      <c r="D17" s="268">
        <v>0</v>
      </c>
      <c r="E17" s="266" t="s">
        <v>190</v>
      </c>
      <c r="F17" s="266" t="s">
        <v>191</v>
      </c>
      <c r="G17" s="217">
        <v>115.55</v>
      </c>
      <c r="H17" s="204">
        <v>121.33</v>
      </c>
      <c r="I17" s="204">
        <v>152.42</v>
      </c>
      <c r="J17" s="217">
        <v>2183.9</v>
      </c>
      <c r="K17" s="221">
        <f>+J17/H17</f>
        <v>17.999670320613205</v>
      </c>
      <c r="L17" s="233">
        <f t="shared" si="1"/>
        <v>0.049314165261953986</v>
      </c>
      <c r="M17" s="233">
        <f>(1*10*25%)/365</f>
        <v>0.00684931506849315</v>
      </c>
      <c r="N17" s="233">
        <f t="shared" si="2"/>
        <v>1.0561634803304472</v>
      </c>
      <c r="O17" s="221">
        <f t="shared" si="3"/>
        <v>160.98043767196674</v>
      </c>
      <c r="P17" s="221">
        <v>9.03</v>
      </c>
      <c r="Q17" s="223">
        <f t="shared" si="4"/>
        <v>170.01043767196674</v>
      </c>
      <c r="R17" s="237">
        <v>43206</v>
      </c>
      <c r="S17" s="238"/>
      <c r="T17" s="238">
        <v>44136</v>
      </c>
      <c r="AB17" s="235"/>
      <c r="AC17" s="235"/>
    </row>
    <row r="18" spans="2:29" ht="15">
      <c r="B18" s="225" t="s">
        <v>266</v>
      </c>
      <c r="C18" s="267">
        <v>10149124587</v>
      </c>
      <c r="D18" s="268">
        <v>0</v>
      </c>
      <c r="E18" s="268" t="s">
        <v>192</v>
      </c>
      <c r="F18" s="266" t="s">
        <v>193</v>
      </c>
      <c r="G18" s="217">
        <v>138.05</v>
      </c>
      <c r="H18" s="204">
        <v>144.95</v>
      </c>
      <c r="I18" s="204">
        <v>152.42</v>
      </c>
      <c r="J18" s="217">
        <v>2601.951780821918</v>
      </c>
      <c r="K18" s="221">
        <v>18</v>
      </c>
      <c r="L18" s="233">
        <f t="shared" si="1"/>
        <v>0.049315068493150684</v>
      </c>
      <c r="M18" s="233">
        <f>(1*8*25%)/365</f>
        <v>0.005479452054794521</v>
      </c>
      <c r="N18" s="233">
        <f t="shared" si="2"/>
        <v>1.0547945205479452</v>
      </c>
      <c r="O18" s="221">
        <f t="shared" si="3"/>
        <v>160.7717808219178</v>
      </c>
      <c r="P18" s="221">
        <v>9.03</v>
      </c>
      <c r="Q18" s="223">
        <f t="shared" si="4"/>
        <v>169.8017808219178</v>
      </c>
      <c r="R18" s="237">
        <v>43467</v>
      </c>
      <c r="S18" s="238"/>
      <c r="T18" s="238">
        <v>44136</v>
      </c>
      <c r="AB18" s="235"/>
      <c r="AC18" s="235"/>
    </row>
    <row r="19" spans="2:29" ht="15">
      <c r="B19" s="225" t="s">
        <v>279</v>
      </c>
      <c r="C19" s="267">
        <v>0</v>
      </c>
      <c r="D19" s="268">
        <v>0</v>
      </c>
      <c r="E19" s="268">
        <v>0</v>
      </c>
      <c r="F19" s="266">
        <v>0</v>
      </c>
      <c r="G19" s="217">
        <v>103.35</v>
      </c>
      <c r="H19" s="204">
        <v>116.6</v>
      </c>
      <c r="I19" s="204">
        <v>152.42</v>
      </c>
      <c r="J19" s="217">
        <v>998.9556164383561</v>
      </c>
      <c r="K19" s="221">
        <v>18</v>
      </c>
      <c r="L19" s="233">
        <f t="shared" si="1"/>
        <v>0.049315068493150684</v>
      </c>
      <c r="M19" s="233">
        <f>(1*8*25%)/365</f>
        <v>0.005479452054794521</v>
      </c>
      <c r="N19" s="233">
        <f t="shared" si="2"/>
        <v>1.0547945205479452</v>
      </c>
      <c r="O19" s="221">
        <f t="shared" si="3"/>
        <v>160.7717808219178</v>
      </c>
      <c r="P19" s="221">
        <v>9.03</v>
      </c>
      <c r="Q19" s="223">
        <f t="shared" si="4"/>
        <v>169.8017808219178</v>
      </c>
      <c r="R19" s="237">
        <v>43635</v>
      </c>
      <c r="S19" s="238"/>
      <c r="T19" s="238">
        <v>44136</v>
      </c>
      <c r="AB19" s="235"/>
      <c r="AC19" s="235"/>
    </row>
    <row r="20" spans="2:29" ht="15">
      <c r="B20" s="225" t="s">
        <v>267</v>
      </c>
      <c r="C20" s="270" t="s">
        <v>195</v>
      </c>
      <c r="D20" s="271">
        <v>0</v>
      </c>
      <c r="E20" s="272" t="s">
        <v>196</v>
      </c>
      <c r="F20" s="273" t="s">
        <v>197</v>
      </c>
      <c r="G20" s="240">
        <v>103.35</v>
      </c>
      <c r="H20" s="204">
        <v>116.6</v>
      </c>
      <c r="I20" s="204">
        <v>176.07</v>
      </c>
      <c r="J20" s="217">
        <v>1322.5315068493153</v>
      </c>
      <c r="K20" s="221">
        <v>18</v>
      </c>
      <c r="L20" s="233">
        <f t="shared" si="1"/>
        <v>0.049315068493150684</v>
      </c>
      <c r="M20" s="233">
        <f>(1*8*25%)/365</f>
        <v>0.005479452054794521</v>
      </c>
      <c r="N20" s="233">
        <f t="shared" si="2"/>
        <v>1.0547945205479452</v>
      </c>
      <c r="O20" s="221">
        <f t="shared" si="3"/>
        <v>185.7176712328767</v>
      </c>
      <c r="P20" s="221">
        <v>9.03</v>
      </c>
      <c r="Q20" s="223">
        <f t="shared" si="4"/>
        <v>194.7476712328767</v>
      </c>
      <c r="R20" s="237">
        <v>43601</v>
      </c>
      <c r="T20" s="238">
        <v>44136</v>
      </c>
      <c r="AB20" s="235"/>
      <c r="AC20" s="235"/>
    </row>
    <row r="21" spans="2:29" ht="15">
      <c r="B21" s="225" t="s">
        <v>268</v>
      </c>
      <c r="C21" s="274" t="s">
        <v>242</v>
      </c>
      <c r="D21" s="265">
        <v>0</v>
      </c>
      <c r="E21" s="266" t="s">
        <v>244</v>
      </c>
      <c r="F21" s="266" t="s">
        <v>243</v>
      </c>
      <c r="G21" s="217">
        <v>0</v>
      </c>
      <c r="H21" s="204">
        <v>0</v>
      </c>
      <c r="I21" s="204">
        <v>142.5</v>
      </c>
      <c r="J21" s="217">
        <v>538.6413698630138</v>
      </c>
      <c r="K21" s="221">
        <v>18</v>
      </c>
      <c r="L21" s="233">
        <f t="shared" si="1"/>
        <v>0.049315068493150684</v>
      </c>
      <c r="M21" s="233">
        <f aca="true" t="shared" si="5" ref="M21:M35">(1*6*25%)/365</f>
        <v>0.00410958904109589</v>
      </c>
      <c r="N21" s="233">
        <f t="shared" si="2"/>
        <v>1.0534246575342465</v>
      </c>
      <c r="O21" s="221">
        <f t="shared" si="3"/>
        <v>150.11301369863014</v>
      </c>
      <c r="P21" s="221">
        <v>9.03</v>
      </c>
      <c r="Q21" s="204">
        <f t="shared" si="4"/>
        <v>159.14301369863014</v>
      </c>
      <c r="R21" s="237">
        <v>44256</v>
      </c>
      <c r="T21" s="238">
        <v>44136</v>
      </c>
      <c r="AB21" s="235"/>
      <c r="AC21" s="235"/>
    </row>
    <row r="22" spans="2:29" ht="15">
      <c r="B22" s="225" t="s">
        <v>269</v>
      </c>
      <c r="C22" s="267" t="s">
        <v>200</v>
      </c>
      <c r="D22" s="268">
        <v>0</v>
      </c>
      <c r="E22" s="268" t="s">
        <v>201</v>
      </c>
      <c r="F22" s="266" t="s">
        <v>202</v>
      </c>
      <c r="G22" s="240"/>
      <c r="H22" s="204">
        <v>103.35</v>
      </c>
      <c r="I22" s="204">
        <v>152.42</v>
      </c>
      <c r="J22" s="217">
        <v>392.44684931506845</v>
      </c>
      <c r="K22" s="221">
        <v>18</v>
      </c>
      <c r="L22" s="233">
        <f t="shared" si="1"/>
        <v>0.049315068493150684</v>
      </c>
      <c r="M22" s="233">
        <f>(1*8*25%)/365</f>
        <v>0.005479452054794521</v>
      </c>
      <c r="N22" s="233">
        <f t="shared" si="2"/>
        <v>1.0547945205479452</v>
      </c>
      <c r="O22" s="221">
        <f t="shared" si="3"/>
        <v>160.7717808219178</v>
      </c>
      <c r="P22" s="221">
        <v>9.03</v>
      </c>
      <c r="Q22" s="223">
        <f t="shared" si="4"/>
        <v>169.8017808219178</v>
      </c>
      <c r="R22" s="237">
        <v>43754</v>
      </c>
      <c r="S22" s="238">
        <v>44013</v>
      </c>
      <c r="T22" s="238">
        <v>44136</v>
      </c>
      <c r="AB22" s="235"/>
      <c r="AC22" s="235"/>
    </row>
    <row r="23" spans="2:29" ht="15">
      <c r="B23" s="280" t="s">
        <v>270</v>
      </c>
      <c r="C23" s="267"/>
      <c r="D23" s="271"/>
      <c r="E23" s="266"/>
      <c r="F23" s="266"/>
      <c r="H23" s="205"/>
      <c r="I23" s="204">
        <v>152.42</v>
      </c>
      <c r="J23" s="203"/>
      <c r="K23" s="221">
        <v>18</v>
      </c>
      <c r="L23" s="233">
        <f aca="true" t="shared" si="6" ref="L23:L31">K23/365</f>
        <v>0.049315068493150684</v>
      </c>
      <c r="M23" s="233">
        <f t="shared" si="5"/>
        <v>0.00410958904109589</v>
      </c>
      <c r="N23" s="233">
        <f aca="true" t="shared" si="7" ref="N23:N31">1+L23+M23</f>
        <v>1.0534246575342465</v>
      </c>
      <c r="O23" s="221">
        <f aca="true" t="shared" si="8" ref="O23:O31">N23*I23</f>
        <v>160.56298630136985</v>
      </c>
      <c r="P23" s="221">
        <v>9.03</v>
      </c>
      <c r="Q23" s="223">
        <f aca="true" t="shared" si="9" ref="Q23:Q31">O23+P23</f>
        <v>169.59298630136985</v>
      </c>
      <c r="R23" s="237">
        <v>43831</v>
      </c>
      <c r="T23" s="238">
        <v>44136</v>
      </c>
      <c r="AB23" s="235"/>
      <c r="AC23" s="235"/>
    </row>
    <row r="24" spans="2:29" ht="15">
      <c r="B24" s="225" t="s">
        <v>271</v>
      </c>
      <c r="C24" s="275">
        <v>2199448990</v>
      </c>
      <c r="D24" s="271"/>
      <c r="E24" s="276" t="s">
        <v>205</v>
      </c>
      <c r="F24" s="276" t="s">
        <v>204</v>
      </c>
      <c r="H24" s="205"/>
      <c r="I24" s="218">
        <v>152.42</v>
      </c>
      <c r="J24" s="251"/>
      <c r="K24" s="252">
        <v>18</v>
      </c>
      <c r="L24" s="253">
        <f t="shared" si="6"/>
        <v>0.049315068493150684</v>
      </c>
      <c r="M24" s="253">
        <f t="shared" si="5"/>
        <v>0.00410958904109589</v>
      </c>
      <c r="N24" s="253">
        <f t="shared" si="7"/>
        <v>1.0534246575342465</v>
      </c>
      <c r="O24" s="252">
        <f t="shared" si="8"/>
        <v>160.56298630136985</v>
      </c>
      <c r="P24" s="252">
        <v>9.03</v>
      </c>
      <c r="Q24" s="254">
        <f t="shared" si="9"/>
        <v>169.59298630136985</v>
      </c>
      <c r="R24" s="286">
        <v>43937</v>
      </c>
      <c r="S24" s="238">
        <v>44059</v>
      </c>
      <c r="T24" s="238">
        <v>44136</v>
      </c>
      <c r="U24" s="238">
        <v>44196</v>
      </c>
      <c r="V24" s="214">
        <f>U24-R24</f>
        <v>259</v>
      </c>
      <c r="AB24" s="235"/>
      <c r="AC24" s="235"/>
    </row>
    <row r="25" spans="2:22" ht="15">
      <c r="B25" s="225" t="s">
        <v>272</v>
      </c>
      <c r="C25" s="269" t="s">
        <v>208</v>
      </c>
      <c r="D25" s="268"/>
      <c r="E25" s="266" t="s">
        <v>209</v>
      </c>
      <c r="F25" s="266" t="s">
        <v>210</v>
      </c>
      <c r="G25" s="203"/>
      <c r="H25" s="217"/>
      <c r="I25" s="217">
        <v>142.5</v>
      </c>
      <c r="J25" s="203"/>
      <c r="K25" s="221">
        <v>18</v>
      </c>
      <c r="L25" s="233">
        <f t="shared" si="6"/>
        <v>0.049315068493150684</v>
      </c>
      <c r="M25" s="233">
        <f t="shared" si="5"/>
        <v>0.00410958904109589</v>
      </c>
      <c r="N25" s="233">
        <f t="shared" si="7"/>
        <v>1.0534246575342465</v>
      </c>
      <c r="O25" s="221">
        <f t="shared" si="8"/>
        <v>150.11301369863014</v>
      </c>
      <c r="P25" s="221">
        <v>9.03</v>
      </c>
      <c r="Q25" s="223">
        <f t="shared" si="9"/>
        <v>159.14301369863014</v>
      </c>
      <c r="R25" s="237">
        <v>44120</v>
      </c>
      <c r="U25" s="238">
        <v>44196</v>
      </c>
      <c r="V25" s="214">
        <f aca="true" t="shared" si="10" ref="V25:V31">U25-R25</f>
        <v>76</v>
      </c>
    </row>
    <row r="26" spans="2:22" ht="15">
      <c r="B26" s="225" t="s">
        <v>273</v>
      </c>
      <c r="C26" s="269" t="s">
        <v>211</v>
      </c>
      <c r="D26" s="268"/>
      <c r="E26" s="266" t="s">
        <v>212</v>
      </c>
      <c r="F26" s="266" t="s">
        <v>213</v>
      </c>
      <c r="G26" s="203"/>
      <c r="H26" s="217"/>
      <c r="I26" s="204">
        <v>176.07</v>
      </c>
      <c r="J26" s="203"/>
      <c r="K26" s="221">
        <v>18</v>
      </c>
      <c r="L26" s="233">
        <f t="shared" si="6"/>
        <v>0.049315068493150684</v>
      </c>
      <c r="M26" s="233">
        <f t="shared" si="5"/>
        <v>0.00410958904109589</v>
      </c>
      <c r="N26" s="233">
        <f t="shared" si="7"/>
        <v>1.0534246575342465</v>
      </c>
      <c r="O26" s="221">
        <f t="shared" si="8"/>
        <v>185.47647945205478</v>
      </c>
      <c r="P26" s="221">
        <v>9.03</v>
      </c>
      <c r="Q26" s="223">
        <f t="shared" si="9"/>
        <v>194.50647945205478</v>
      </c>
      <c r="R26" s="237">
        <v>44120</v>
      </c>
      <c r="S26" s="238">
        <v>44181</v>
      </c>
      <c r="U26" s="238">
        <v>44196</v>
      </c>
      <c r="V26" s="214">
        <f t="shared" si="10"/>
        <v>76</v>
      </c>
    </row>
    <row r="27" spans="2:22" ht="15">
      <c r="B27" s="281" t="s">
        <v>274</v>
      </c>
      <c r="C27" s="269" t="s">
        <v>214</v>
      </c>
      <c r="D27" s="268"/>
      <c r="E27" s="266" t="s">
        <v>215</v>
      </c>
      <c r="F27" s="266" t="s">
        <v>216</v>
      </c>
      <c r="G27" s="203"/>
      <c r="H27" s="217"/>
      <c r="I27" s="217">
        <v>142.5</v>
      </c>
      <c r="J27" s="203"/>
      <c r="K27" s="221">
        <v>18</v>
      </c>
      <c r="L27" s="233">
        <f t="shared" si="6"/>
        <v>0.049315068493150684</v>
      </c>
      <c r="M27" s="233">
        <f t="shared" si="5"/>
        <v>0.00410958904109589</v>
      </c>
      <c r="N27" s="233">
        <f t="shared" si="7"/>
        <v>1.0534246575342465</v>
      </c>
      <c r="O27" s="221">
        <f t="shared" si="8"/>
        <v>150.11301369863014</v>
      </c>
      <c r="P27" s="221">
        <v>9.03</v>
      </c>
      <c r="Q27" s="223">
        <f t="shared" si="9"/>
        <v>159.14301369863014</v>
      </c>
      <c r="R27" s="237">
        <v>44120</v>
      </c>
      <c r="U27" s="238">
        <v>44196</v>
      </c>
      <c r="V27" s="214">
        <f t="shared" si="10"/>
        <v>76</v>
      </c>
    </row>
    <row r="28" spans="2:22" ht="15">
      <c r="B28" s="225" t="s">
        <v>59</v>
      </c>
      <c r="C28" s="268"/>
      <c r="D28" s="268"/>
      <c r="E28" s="268"/>
      <c r="F28" s="266"/>
      <c r="G28" s="203"/>
      <c r="H28" s="203"/>
      <c r="I28" s="217">
        <v>142.5</v>
      </c>
      <c r="J28" s="203"/>
      <c r="K28" s="221">
        <v>18</v>
      </c>
      <c r="L28" s="233">
        <f t="shared" si="6"/>
        <v>0.049315068493150684</v>
      </c>
      <c r="M28" s="233">
        <f t="shared" si="5"/>
        <v>0.00410958904109589</v>
      </c>
      <c r="N28" s="233">
        <f t="shared" si="7"/>
        <v>1.0534246575342465</v>
      </c>
      <c r="O28" s="221">
        <f t="shared" si="8"/>
        <v>150.11301369863014</v>
      </c>
      <c r="P28" s="221">
        <v>9.03</v>
      </c>
      <c r="Q28" s="223">
        <f t="shared" si="9"/>
        <v>159.14301369863014</v>
      </c>
      <c r="R28" s="237">
        <v>44166</v>
      </c>
      <c r="U28" s="238">
        <v>44196</v>
      </c>
      <c r="V28" s="214">
        <f t="shared" si="10"/>
        <v>30</v>
      </c>
    </row>
    <row r="29" spans="2:22" ht="15">
      <c r="B29" s="225" t="s">
        <v>275</v>
      </c>
      <c r="C29" s="267"/>
      <c r="D29" s="268"/>
      <c r="E29" s="268"/>
      <c r="F29" s="266"/>
      <c r="G29" s="217"/>
      <c r="H29" s="217"/>
      <c r="I29" s="217">
        <v>142.5</v>
      </c>
      <c r="J29" s="203"/>
      <c r="K29" s="221">
        <v>18</v>
      </c>
      <c r="L29" s="233">
        <f t="shared" si="6"/>
        <v>0.049315068493150684</v>
      </c>
      <c r="M29" s="233">
        <f t="shared" si="5"/>
        <v>0.00410958904109589</v>
      </c>
      <c r="N29" s="233">
        <f t="shared" si="7"/>
        <v>1.0534246575342465</v>
      </c>
      <c r="O29" s="221">
        <f t="shared" si="8"/>
        <v>150.11301369863014</v>
      </c>
      <c r="P29" s="221">
        <v>9.03</v>
      </c>
      <c r="Q29" s="223">
        <f t="shared" si="9"/>
        <v>159.14301369863014</v>
      </c>
      <c r="R29" s="237">
        <v>44166</v>
      </c>
      <c r="S29" s="238"/>
      <c r="T29" s="239"/>
      <c r="U29" s="238">
        <v>44196</v>
      </c>
      <c r="V29" s="214">
        <f t="shared" si="10"/>
        <v>30</v>
      </c>
    </row>
    <row r="30" spans="2:22" ht="15">
      <c r="B30" s="225" t="s">
        <v>276</v>
      </c>
      <c r="C30" s="268"/>
      <c r="D30" s="268"/>
      <c r="E30" s="268"/>
      <c r="F30" s="268"/>
      <c r="G30" s="203"/>
      <c r="H30" s="203"/>
      <c r="I30" s="217">
        <v>142.5</v>
      </c>
      <c r="J30" s="203"/>
      <c r="K30" s="221">
        <v>18</v>
      </c>
      <c r="L30" s="233">
        <f t="shared" si="6"/>
        <v>0.049315068493150684</v>
      </c>
      <c r="M30" s="233">
        <f t="shared" si="5"/>
        <v>0.00410958904109589</v>
      </c>
      <c r="N30" s="233">
        <f t="shared" si="7"/>
        <v>1.0534246575342465</v>
      </c>
      <c r="O30" s="221">
        <f t="shared" si="8"/>
        <v>150.11301369863014</v>
      </c>
      <c r="P30" s="221">
        <v>9.03</v>
      </c>
      <c r="Q30" s="223">
        <f t="shared" si="9"/>
        <v>159.14301369863014</v>
      </c>
      <c r="R30" s="237">
        <v>44166</v>
      </c>
      <c r="U30" s="238">
        <v>44196</v>
      </c>
      <c r="V30" s="214">
        <f t="shared" si="10"/>
        <v>30</v>
      </c>
    </row>
    <row r="31" spans="2:22" ht="15">
      <c r="B31" s="225" t="s">
        <v>280</v>
      </c>
      <c r="C31" s="268"/>
      <c r="D31" s="268"/>
      <c r="E31" s="268"/>
      <c r="F31" s="268"/>
      <c r="G31" s="203"/>
      <c r="H31" s="203"/>
      <c r="I31" s="217">
        <v>142.5</v>
      </c>
      <c r="J31" s="203"/>
      <c r="K31" s="221">
        <v>18</v>
      </c>
      <c r="L31" s="233">
        <f t="shared" si="6"/>
        <v>0.049315068493150684</v>
      </c>
      <c r="M31" s="233">
        <f t="shared" si="5"/>
        <v>0.00410958904109589</v>
      </c>
      <c r="N31" s="233">
        <f t="shared" si="7"/>
        <v>1.0534246575342465</v>
      </c>
      <c r="O31" s="221">
        <f t="shared" si="8"/>
        <v>150.11301369863014</v>
      </c>
      <c r="P31" s="221">
        <v>9.03</v>
      </c>
      <c r="Q31" s="223">
        <f t="shared" si="9"/>
        <v>159.14301369863014</v>
      </c>
      <c r="R31" s="237">
        <v>44166</v>
      </c>
      <c r="U31" s="238">
        <v>44196</v>
      </c>
      <c r="V31" s="214">
        <f t="shared" si="10"/>
        <v>30</v>
      </c>
    </row>
    <row r="32" spans="2:18" ht="15">
      <c r="B32" s="32" t="s">
        <v>281</v>
      </c>
      <c r="C32" s="277"/>
      <c r="D32" s="271"/>
      <c r="E32" s="271"/>
      <c r="F32" s="271"/>
      <c r="I32" s="217">
        <v>142.5</v>
      </c>
      <c r="K32" s="221">
        <v>18</v>
      </c>
      <c r="L32" s="233">
        <f>K32/365</f>
        <v>0.049315068493150684</v>
      </c>
      <c r="M32" s="233">
        <f t="shared" si="5"/>
        <v>0.00410958904109589</v>
      </c>
      <c r="N32" s="233">
        <f>1+L32+M32</f>
        <v>1.0534246575342465</v>
      </c>
      <c r="O32" s="221">
        <f>N32*I32</f>
        <v>150.11301369863014</v>
      </c>
      <c r="P32" s="221">
        <v>9.03</v>
      </c>
      <c r="Q32" s="223">
        <f>O32+P32</f>
        <v>159.14301369863014</v>
      </c>
      <c r="R32" s="238">
        <v>44197</v>
      </c>
    </row>
    <row r="33" spans="2:18" ht="15">
      <c r="B33" s="32" t="s">
        <v>282</v>
      </c>
      <c r="C33" s="277"/>
      <c r="D33" s="271"/>
      <c r="E33" s="271"/>
      <c r="F33" s="271"/>
      <c r="I33" s="217">
        <v>142.5</v>
      </c>
      <c r="K33" s="221">
        <v>18</v>
      </c>
      <c r="L33" s="233">
        <f>K33/365</f>
        <v>0.049315068493150684</v>
      </c>
      <c r="M33" s="233">
        <f t="shared" si="5"/>
        <v>0.00410958904109589</v>
      </c>
      <c r="N33" s="233">
        <f>1+L33+M33</f>
        <v>1.0534246575342465</v>
      </c>
      <c r="O33" s="221">
        <f>N33*I33</f>
        <v>150.11301369863014</v>
      </c>
      <c r="P33" s="221">
        <v>9.03</v>
      </c>
      <c r="Q33" s="223">
        <f>O33+P33</f>
        <v>159.14301369863014</v>
      </c>
      <c r="R33" s="238">
        <v>44197</v>
      </c>
    </row>
    <row r="34" spans="2:18" ht="15">
      <c r="B34" s="280" t="s">
        <v>283</v>
      </c>
      <c r="C34" s="271">
        <v>71978248525</v>
      </c>
      <c r="D34" s="271"/>
      <c r="E34" s="271" t="s">
        <v>247</v>
      </c>
      <c r="F34" s="271" t="s">
        <v>246</v>
      </c>
      <c r="I34" s="240">
        <v>142.5</v>
      </c>
      <c r="K34" s="221">
        <v>18</v>
      </c>
      <c r="L34" s="233">
        <f>K34/365</f>
        <v>0.049315068493150684</v>
      </c>
      <c r="M34" s="233">
        <f t="shared" si="5"/>
        <v>0.00410958904109589</v>
      </c>
      <c r="N34" s="233">
        <f>1+L34+M34</f>
        <v>1.0534246575342465</v>
      </c>
      <c r="O34" s="221">
        <f>N34*I34</f>
        <v>150.11301369863014</v>
      </c>
      <c r="P34" s="221">
        <v>9.03</v>
      </c>
      <c r="Q34" s="223">
        <f>O34+P34</f>
        <v>159.14301369863014</v>
      </c>
      <c r="R34" s="238">
        <v>44271</v>
      </c>
    </row>
    <row r="35" spans="2:18" ht="15">
      <c r="B35" s="280" t="s">
        <v>282</v>
      </c>
      <c r="C35" s="278" t="s">
        <v>248</v>
      </c>
      <c r="D35" s="271"/>
      <c r="E35" s="271" t="s">
        <v>249</v>
      </c>
      <c r="F35" s="279" t="s">
        <v>250</v>
      </c>
      <c r="I35" s="240">
        <v>142.5</v>
      </c>
      <c r="K35" s="221">
        <v>18</v>
      </c>
      <c r="L35" s="233">
        <f>K35/365</f>
        <v>0.049315068493150684</v>
      </c>
      <c r="M35" s="233">
        <f t="shared" si="5"/>
        <v>0.00410958904109589</v>
      </c>
      <c r="N35" s="233">
        <f>1+L35+M35</f>
        <v>1.0534246575342465</v>
      </c>
      <c r="O35" s="221">
        <f>N35*I35</f>
        <v>150.11301369863014</v>
      </c>
      <c r="P35" s="221">
        <v>9.03</v>
      </c>
      <c r="Q35" s="223">
        <f>O35+P35</f>
        <v>159.14301369863014</v>
      </c>
      <c r="R35" s="238">
        <v>44271</v>
      </c>
    </row>
    <row r="36" spans="3:6" ht="15">
      <c r="C36" s="271"/>
      <c r="D36" s="271"/>
      <c r="E36" s="271"/>
      <c r="F36" s="271"/>
    </row>
  </sheetData>
  <sheetProtection/>
  <printOptions/>
  <pageMargins left="0.7" right="0.7" top="0.75" bottom="0.75" header="0.3" footer="0.3"/>
  <pageSetup fitToHeight="0" fitToWidth="1" horizontalDpi="600" verticalDpi="600" orientation="landscape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2:AE39"/>
  <sheetViews>
    <sheetView view="pageBreakPreview" zoomScale="75" zoomScaleSheetLayoutView="75" zoomScalePageLayoutView="0" workbookViewId="0" topLeftCell="A1">
      <pane xSplit="2" topLeftCell="D1" activePane="topRight" state="frozen"/>
      <selection pane="topLeft" activeCell="A4" sqref="A4"/>
      <selection pane="topRight" activeCell="O9" sqref="O9"/>
    </sheetView>
  </sheetViews>
  <sheetFormatPr defaultColWidth="11.421875" defaultRowHeight="15"/>
  <cols>
    <col min="1" max="1" width="7.57421875" style="120" customWidth="1"/>
    <col min="2" max="2" width="38.57421875" style="0" customWidth="1"/>
    <col min="3" max="3" width="16.57421875" style="0" customWidth="1"/>
    <col min="4" max="4" width="13.00390625" style="0" customWidth="1"/>
    <col min="5" max="5" width="20.421875" style="0" customWidth="1"/>
    <col min="6" max="6" width="24.7109375" style="121" customWidth="1"/>
    <col min="7" max="7" width="13.00390625" style="121" customWidth="1"/>
    <col min="8" max="8" width="13.00390625" style="0" customWidth="1"/>
    <col min="9" max="9" width="15.57421875" style="0" customWidth="1"/>
    <col min="10" max="10" width="14.7109375" style="0" customWidth="1"/>
    <col min="11" max="11" width="14.421875" style="0" customWidth="1"/>
    <col min="12" max="12" width="14.8515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  <col min="26" max="26" width="11.42187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150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16</v>
      </c>
      <c r="J7" s="38" t="e">
        <f aca="true" t="shared" si="0" ref="J7:J13">G7*I7</f>
        <v>#REF!</v>
      </c>
      <c r="K7" s="38" t="e">
        <f>J7*0.1</f>
        <v>#REF!</v>
      </c>
      <c r="L7" s="38" t="e">
        <f>J7*0.1</f>
        <v>#REF!</v>
      </c>
      <c r="M7" s="38" t="e">
        <f>J7*0.15</f>
        <v>#REF!</v>
      </c>
      <c r="N7" s="38">
        <v>10</v>
      </c>
      <c r="O7" s="109" t="e">
        <f>SUM(J7:N7)</f>
        <v>#REF!</v>
      </c>
      <c r="P7" s="31" t="e">
        <f>'calculo ISR Febrero'!O34</f>
        <v>#REF!</v>
      </c>
      <c r="Q7" s="31" t="e">
        <f>'calculo ISR Febrero'!P34</f>
        <v>#REF!</v>
      </c>
      <c r="R7" s="31">
        <v>0</v>
      </c>
      <c r="S7" s="31" t="e">
        <f>P7-Q7</f>
        <v>#REF!</v>
      </c>
      <c r="T7" s="31"/>
      <c r="U7" s="31" t="e">
        <f>R7+S7+T7</f>
        <v>#REF!</v>
      </c>
      <c r="V7" s="95" t="e">
        <f>O7-U7</f>
        <v>#REF!</v>
      </c>
      <c r="W7" s="31"/>
      <c r="X7" s="31" t="e">
        <f aca="true" t="shared" si="1" ref="X7:X13">V7-W7</f>
        <v>#REF!</v>
      </c>
      <c r="Y7" s="104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15</v>
      </c>
      <c r="J8" s="38" t="e">
        <f t="shared" si="0"/>
        <v>#REF!</v>
      </c>
      <c r="K8" s="38" t="e">
        <f>J8*0.1</f>
        <v>#REF!</v>
      </c>
      <c r="L8" s="38" t="e">
        <f aca="true" t="shared" si="2" ref="L8:L13">J8*0.1</f>
        <v>#REF!</v>
      </c>
      <c r="M8" s="38" t="e">
        <f aca="true" t="shared" si="3" ref="M8:M13">J8*0.15</f>
        <v>#REF!</v>
      </c>
      <c r="N8" s="38">
        <v>10</v>
      </c>
      <c r="O8" s="109" t="e">
        <f aca="true" t="shared" si="4" ref="O8:O13">SUM(J8:N8)</f>
        <v>#REF!</v>
      </c>
      <c r="P8" s="31" t="e">
        <f>'calculo ISR Febrero'!O35</f>
        <v>#REF!</v>
      </c>
      <c r="Q8" s="31" t="e">
        <f>'calculo ISR Febrero'!P35</f>
        <v>#REF!</v>
      </c>
      <c r="R8" s="31">
        <v>0</v>
      </c>
      <c r="S8" s="31" t="e">
        <f aca="true" t="shared" si="5" ref="S8:S13">P8-Q8</f>
        <v>#REF!</v>
      </c>
      <c r="T8" s="31"/>
      <c r="U8" s="31" t="e">
        <f aca="true" t="shared" si="6" ref="U8:U13">R8+S8+T8</f>
        <v>#REF!</v>
      </c>
      <c r="V8" s="95" t="e">
        <f aca="true" t="shared" si="7" ref="V8:V13">O8-U8</f>
        <v>#REF!</v>
      </c>
      <c r="W8" s="31"/>
      <c r="X8" s="31" t="e">
        <f t="shared" si="1"/>
        <v>#REF!</v>
      </c>
      <c r="Y8" s="104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15</v>
      </c>
      <c r="J9" s="38" t="e">
        <f t="shared" si="0"/>
        <v>#REF!</v>
      </c>
      <c r="K9" s="38" t="e">
        <f>J9*0.075</f>
        <v>#REF!</v>
      </c>
      <c r="L9" s="38" t="e">
        <f t="shared" si="2"/>
        <v>#REF!</v>
      </c>
      <c r="M9" s="38" t="e">
        <f t="shared" si="3"/>
        <v>#REF!</v>
      </c>
      <c r="N9" s="38">
        <v>10</v>
      </c>
      <c r="O9" s="109" t="e">
        <f t="shared" si="4"/>
        <v>#REF!</v>
      </c>
      <c r="P9" s="31" t="e">
        <f>'calculo ISR Febrero'!O36</f>
        <v>#REF!</v>
      </c>
      <c r="Q9" s="31" t="e">
        <f>'calculo ISR Febrero'!P36</f>
        <v>#REF!</v>
      </c>
      <c r="R9" s="31">
        <v>0</v>
      </c>
      <c r="S9" s="31" t="e">
        <f t="shared" si="5"/>
        <v>#REF!</v>
      </c>
      <c r="T9" s="31"/>
      <c r="U9" s="31" t="e">
        <f t="shared" si="6"/>
        <v>#REF!</v>
      </c>
      <c r="V9" s="95" t="e">
        <f t="shared" si="7"/>
        <v>#REF!</v>
      </c>
      <c r="W9" s="31"/>
      <c r="X9" s="31" t="e">
        <f t="shared" si="1"/>
        <v>#REF!</v>
      </c>
      <c r="Y9" s="104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15</v>
      </c>
      <c r="J10" s="38" t="e">
        <f t="shared" si="0"/>
        <v>#REF!</v>
      </c>
      <c r="K10" s="38" t="e">
        <f>J10*0.1</f>
        <v>#REF!</v>
      </c>
      <c r="L10" s="38" t="e">
        <f t="shared" si="2"/>
        <v>#REF!</v>
      </c>
      <c r="M10" s="38" t="e">
        <f t="shared" si="3"/>
        <v>#REF!</v>
      </c>
      <c r="N10" s="38">
        <v>10</v>
      </c>
      <c r="O10" s="109" t="e">
        <f t="shared" si="4"/>
        <v>#REF!</v>
      </c>
      <c r="P10" s="31" t="e">
        <f>'calculo ISR Febrero'!O37</f>
        <v>#REF!</v>
      </c>
      <c r="Q10" s="31" t="e">
        <f>'calculo ISR Febrero'!P37</f>
        <v>#REF!</v>
      </c>
      <c r="R10" s="31">
        <v>0</v>
      </c>
      <c r="S10" s="31" t="e">
        <f t="shared" si="5"/>
        <v>#REF!</v>
      </c>
      <c r="T10" s="31"/>
      <c r="U10" s="31" t="e">
        <f t="shared" si="6"/>
        <v>#REF!</v>
      </c>
      <c r="V10" s="95" t="e">
        <f t="shared" si="7"/>
        <v>#REF!</v>
      </c>
      <c r="W10" s="31"/>
      <c r="X10" s="31" t="e">
        <f t="shared" si="1"/>
        <v>#REF!</v>
      </c>
      <c r="Y10" s="105">
        <v>2714169867</v>
      </c>
      <c r="Z10" s="40"/>
      <c r="AA10" s="56"/>
      <c r="AB10" s="25"/>
      <c r="AC10" s="25"/>
      <c r="AD10" s="25"/>
      <c r="AE10" s="25"/>
    </row>
    <row r="11" spans="1:31" ht="15">
      <c r="A11" s="32" t="s">
        <v>57</v>
      </c>
      <c r="B11" s="28" t="s">
        <v>84</v>
      </c>
      <c r="C11" s="63">
        <v>71119500743</v>
      </c>
      <c r="D11" s="30"/>
      <c r="E11" s="36" t="s">
        <v>88</v>
      </c>
      <c r="F11" s="36" t="s">
        <v>89</v>
      </c>
      <c r="G11" s="31" t="e">
        <f>#REF!</f>
        <v>#REF!</v>
      </c>
      <c r="H11" s="31" t="e">
        <f>#REF!</f>
        <v>#REF!</v>
      </c>
      <c r="I11" s="55">
        <v>15</v>
      </c>
      <c r="J11" s="38" t="e">
        <f t="shared" si="0"/>
        <v>#REF!</v>
      </c>
      <c r="K11" s="38" t="e">
        <f>J11*0.05</f>
        <v>#REF!</v>
      </c>
      <c r="L11" s="38" t="e">
        <f t="shared" si="2"/>
        <v>#REF!</v>
      </c>
      <c r="M11" s="38" t="e">
        <f t="shared" si="3"/>
        <v>#REF!</v>
      </c>
      <c r="N11" s="38">
        <v>10</v>
      </c>
      <c r="O11" s="109" t="e">
        <f t="shared" si="4"/>
        <v>#REF!</v>
      </c>
      <c r="P11" s="31" t="e">
        <f>'calculo ISR Febrero'!O38</f>
        <v>#REF!</v>
      </c>
      <c r="Q11" s="31" t="e">
        <f>'calculo ISR Febrero'!P38</f>
        <v>#REF!</v>
      </c>
      <c r="R11" s="31">
        <v>0</v>
      </c>
      <c r="S11" s="31" t="e">
        <f t="shared" si="5"/>
        <v>#REF!</v>
      </c>
      <c r="T11" s="31"/>
      <c r="U11" s="31" t="e">
        <f t="shared" si="6"/>
        <v>#REF!</v>
      </c>
      <c r="V11" s="95" t="e">
        <f t="shared" si="7"/>
        <v>#REF!</v>
      </c>
      <c r="W11" s="31"/>
      <c r="X11" s="31" t="e">
        <f t="shared" si="1"/>
        <v>#REF!</v>
      </c>
      <c r="Y11" s="106">
        <v>2758909075</v>
      </c>
      <c r="Z11" s="40"/>
      <c r="AA11" s="25"/>
      <c r="AB11" s="25"/>
      <c r="AC11" s="25"/>
      <c r="AD11" s="25"/>
      <c r="AE11" s="25"/>
    </row>
    <row r="12" spans="1:31" ht="15">
      <c r="A12" s="32" t="s">
        <v>57</v>
      </c>
      <c r="B12" s="28" t="s">
        <v>92</v>
      </c>
      <c r="C12" s="63">
        <v>71068425785</v>
      </c>
      <c r="D12" s="30"/>
      <c r="E12" s="36" t="s">
        <v>95</v>
      </c>
      <c r="F12" s="36" t="s">
        <v>94</v>
      </c>
      <c r="G12" s="31" t="e">
        <f>#REF!</f>
        <v>#REF!</v>
      </c>
      <c r="H12" s="31" t="e">
        <f>#REF!</f>
        <v>#REF!</v>
      </c>
      <c r="I12" s="55">
        <v>15</v>
      </c>
      <c r="J12" s="38" t="e">
        <f t="shared" si="0"/>
        <v>#REF!</v>
      </c>
      <c r="K12" s="38" t="e">
        <f>J12*0.1</f>
        <v>#REF!</v>
      </c>
      <c r="L12" s="38" t="e">
        <f t="shared" si="2"/>
        <v>#REF!</v>
      </c>
      <c r="M12" s="38" t="e">
        <f t="shared" si="3"/>
        <v>#REF!</v>
      </c>
      <c r="N12" s="38">
        <v>10</v>
      </c>
      <c r="O12" s="109" t="e">
        <f t="shared" si="4"/>
        <v>#REF!</v>
      </c>
      <c r="P12" s="31" t="e">
        <f>'calculo ISR Febrero'!O39</f>
        <v>#REF!</v>
      </c>
      <c r="Q12" s="31" t="e">
        <f>'calculo ISR Febrero'!P39</f>
        <v>#REF!</v>
      </c>
      <c r="R12" s="31">
        <v>0</v>
      </c>
      <c r="S12" s="31" t="e">
        <f t="shared" si="5"/>
        <v>#REF!</v>
      </c>
      <c r="T12" s="31"/>
      <c r="U12" s="31" t="e">
        <f t="shared" si="6"/>
        <v>#REF!</v>
      </c>
      <c r="V12" s="95" t="e">
        <f t="shared" si="7"/>
        <v>#REF!</v>
      </c>
      <c r="W12" s="31"/>
      <c r="X12" s="31" t="e">
        <f t="shared" si="1"/>
        <v>#REF!</v>
      </c>
      <c r="Y12" s="106">
        <v>2783684466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87</v>
      </c>
      <c r="C13" s="29">
        <v>71098933956</v>
      </c>
      <c r="D13" s="30" t="s">
        <v>59</v>
      </c>
      <c r="E13" s="36" t="s">
        <v>85</v>
      </c>
      <c r="F13" s="36" t="s">
        <v>86</v>
      </c>
      <c r="G13" s="31" t="e">
        <f>#REF!</f>
        <v>#REF!</v>
      </c>
      <c r="H13" s="31" t="e">
        <f>#REF!</f>
        <v>#REF!</v>
      </c>
      <c r="I13" s="55">
        <v>15</v>
      </c>
      <c r="J13" s="38" t="e">
        <f t="shared" si="0"/>
        <v>#REF!</v>
      </c>
      <c r="K13" s="38" t="e">
        <f>J13*0.075</f>
        <v>#REF!</v>
      </c>
      <c r="L13" s="38" t="e">
        <f t="shared" si="2"/>
        <v>#REF!</v>
      </c>
      <c r="M13" s="38" t="e">
        <f t="shared" si="3"/>
        <v>#REF!</v>
      </c>
      <c r="N13" s="38">
        <v>10</v>
      </c>
      <c r="O13" s="109" t="e">
        <f t="shared" si="4"/>
        <v>#REF!</v>
      </c>
      <c r="P13" s="31" t="e">
        <f>'calculo ISR Febrero'!O40</f>
        <v>#REF!</v>
      </c>
      <c r="Q13" s="31" t="e">
        <f>'calculo ISR Febrero'!P40</f>
        <v>#REF!</v>
      </c>
      <c r="R13" s="31">
        <v>0</v>
      </c>
      <c r="S13" s="31" t="e">
        <f t="shared" si="5"/>
        <v>#REF!</v>
      </c>
      <c r="T13" s="31"/>
      <c r="U13" s="31" t="e">
        <f t="shared" si="6"/>
        <v>#REF!</v>
      </c>
      <c r="V13" s="95" t="e">
        <f t="shared" si="7"/>
        <v>#REF!</v>
      </c>
      <c r="W13" s="31"/>
      <c r="X13" s="31" t="e">
        <f t="shared" si="1"/>
        <v>#REF!</v>
      </c>
      <c r="Y13" s="106">
        <v>2710232416</v>
      </c>
      <c r="Z13" s="40"/>
      <c r="AA13" s="25"/>
      <c r="AB13" s="25"/>
      <c r="AC13" s="25"/>
      <c r="AD13" s="25"/>
      <c r="AE13" s="25"/>
    </row>
    <row r="14" spans="1:25" ht="15">
      <c r="A14" s="27"/>
      <c r="B14" s="25"/>
      <c r="C14" s="25"/>
      <c r="D14" s="25"/>
      <c r="E14" s="37"/>
      <c r="F14" s="37"/>
      <c r="G14" s="25"/>
      <c r="H14" s="49"/>
      <c r="I14" s="120"/>
      <c r="J14" s="41" t="e">
        <f aca="true" t="shared" si="8" ref="J14:X14">SUM(J7:J13)</f>
        <v>#REF!</v>
      </c>
      <c r="K14" s="41" t="e">
        <f t="shared" si="8"/>
        <v>#REF!</v>
      </c>
      <c r="L14" s="41" t="e">
        <f t="shared" si="8"/>
        <v>#REF!</v>
      </c>
      <c r="M14" s="41" t="e">
        <f t="shared" si="8"/>
        <v>#REF!</v>
      </c>
      <c r="N14" s="41">
        <f t="shared" si="8"/>
        <v>70</v>
      </c>
      <c r="O14" s="41" t="e">
        <f t="shared" si="8"/>
        <v>#REF!</v>
      </c>
      <c r="P14" s="41" t="e">
        <f t="shared" si="8"/>
        <v>#REF!</v>
      </c>
      <c r="Q14" s="41" t="e">
        <f t="shared" si="8"/>
        <v>#REF!</v>
      </c>
      <c r="R14" s="41">
        <f t="shared" si="8"/>
        <v>0</v>
      </c>
      <c r="S14" s="41" t="e">
        <f t="shared" si="8"/>
        <v>#REF!</v>
      </c>
      <c r="T14" s="41">
        <f t="shared" si="8"/>
        <v>0</v>
      </c>
      <c r="U14" s="41" t="e">
        <f t="shared" si="8"/>
        <v>#REF!</v>
      </c>
      <c r="V14" s="41" t="e">
        <f t="shared" si="8"/>
        <v>#REF!</v>
      </c>
      <c r="W14" s="41">
        <f t="shared" si="8"/>
        <v>0</v>
      </c>
      <c r="X14" s="41" t="e">
        <f t="shared" si="8"/>
        <v>#REF!</v>
      </c>
      <c r="Y14" s="25"/>
    </row>
    <row r="15" spans="9:23" ht="25.5" customHeight="1">
      <c r="I15" s="120"/>
      <c r="W15" s="62"/>
    </row>
    <row r="16" spans="3:24" ht="15">
      <c r="C16" s="339" t="s">
        <v>40</v>
      </c>
      <c r="D16" s="339"/>
      <c r="E16" s="339"/>
      <c r="F16" s="339"/>
      <c r="G16" s="339"/>
      <c r="H16" s="331" t="s">
        <v>44</v>
      </c>
      <c r="I16" s="332" t="s">
        <v>2</v>
      </c>
      <c r="J16" s="333"/>
      <c r="K16" s="333"/>
      <c r="L16" s="333"/>
      <c r="M16" s="334"/>
      <c r="N16" s="341" t="s">
        <v>50</v>
      </c>
      <c r="O16" s="33"/>
      <c r="P16" s="341" t="s">
        <v>51</v>
      </c>
      <c r="W16" s="62" t="s">
        <v>97</v>
      </c>
      <c r="X16" s="40"/>
    </row>
    <row r="17" spans="3:23" ht="22.5">
      <c r="C17" s="33" t="s">
        <v>41</v>
      </c>
      <c r="D17" s="34" t="s">
        <v>52</v>
      </c>
      <c r="E17" s="34" t="s">
        <v>42</v>
      </c>
      <c r="F17" s="45" t="s">
        <v>43</v>
      </c>
      <c r="G17" s="34" t="s">
        <v>61</v>
      </c>
      <c r="H17" s="340"/>
      <c r="I17" s="34" t="s">
        <v>45</v>
      </c>
      <c r="J17" s="34" t="s">
        <v>46</v>
      </c>
      <c r="K17" s="34" t="s">
        <v>47</v>
      </c>
      <c r="L17" s="34" t="s">
        <v>48</v>
      </c>
      <c r="M17" s="34" t="s">
        <v>49</v>
      </c>
      <c r="N17" s="342"/>
      <c r="O17" s="33"/>
      <c r="P17" s="342"/>
      <c r="U17" s="40"/>
      <c r="W17" s="62"/>
    </row>
    <row r="18" spans="2:24" ht="15">
      <c r="B18" t="s">
        <v>80</v>
      </c>
      <c r="C18" s="43" t="e">
        <f>J14</f>
        <v>#REF!</v>
      </c>
      <c r="D18" s="43" t="e">
        <f>K14</f>
        <v>#REF!</v>
      </c>
      <c r="E18" s="43" t="e">
        <f>L14</f>
        <v>#REF!</v>
      </c>
      <c r="F18" s="43" t="e">
        <f>M14</f>
        <v>#REF!</v>
      </c>
      <c r="G18" s="46">
        <f>N14</f>
        <v>70</v>
      </c>
      <c r="H18" s="43" t="e">
        <f aca="true" t="shared" si="9" ref="H18:N18">O14</f>
        <v>#REF!</v>
      </c>
      <c r="I18" s="43" t="e">
        <f t="shared" si="9"/>
        <v>#REF!</v>
      </c>
      <c r="J18" s="43" t="e">
        <f t="shared" si="9"/>
        <v>#REF!</v>
      </c>
      <c r="K18" s="43">
        <f t="shared" si="9"/>
        <v>0</v>
      </c>
      <c r="L18" s="43" t="e">
        <f t="shared" si="9"/>
        <v>#REF!</v>
      </c>
      <c r="M18" s="43">
        <f t="shared" si="9"/>
        <v>0</v>
      </c>
      <c r="N18" s="43" t="e">
        <f t="shared" si="9"/>
        <v>#REF!</v>
      </c>
      <c r="O18" s="43"/>
      <c r="P18" s="43" t="e">
        <f>V14</f>
        <v>#REF!</v>
      </c>
      <c r="V18" s="40"/>
      <c r="W18" s="40"/>
      <c r="X18" s="40"/>
    </row>
    <row r="19" spans="3:21" ht="15">
      <c r="C19" s="40"/>
      <c r="D19" s="40"/>
      <c r="E19" s="40"/>
      <c r="F19" s="40"/>
      <c r="H19" s="40"/>
      <c r="I19" s="40"/>
      <c r="J19" s="40"/>
      <c r="K19" s="40"/>
      <c r="L19" s="40"/>
      <c r="M19" s="40"/>
      <c r="N19" s="40"/>
      <c r="O19" s="40"/>
      <c r="P19" s="40"/>
      <c r="U19" s="40"/>
    </row>
    <row r="20" spans="3:24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  <c r="U20" s="48"/>
      <c r="V20" s="40"/>
      <c r="W20" s="40"/>
      <c r="X20" s="40"/>
    </row>
    <row r="21" spans="3:16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3:16" ht="15">
      <c r="C22" s="40" t="e">
        <f>SUM(C18:C21)</f>
        <v>#REF!</v>
      </c>
      <c r="D22" s="40" t="e">
        <f>SUM(D18:D21)</f>
        <v>#REF!</v>
      </c>
      <c r="E22" s="40" t="e">
        <f>SUM(E18:E21)</f>
        <v>#REF!</v>
      </c>
      <c r="F22" s="40" t="e">
        <f>SUM(F18:F21)</f>
        <v>#REF!</v>
      </c>
      <c r="H22" s="40" t="e">
        <f aca="true" t="shared" si="10" ref="H22:N22">SUM(H18:H21)</f>
        <v>#REF!</v>
      </c>
      <c r="I22" s="40" t="e">
        <f t="shared" si="10"/>
        <v>#REF!</v>
      </c>
      <c r="J22" s="40" t="e">
        <f t="shared" si="10"/>
        <v>#REF!</v>
      </c>
      <c r="K22" s="40">
        <f t="shared" si="10"/>
        <v>0</v>
      </c>
      <c r="L22" s="40" t="e">
        <f t="shared" si="10"/>
        <v>#REF!</v>
      </c>
      <c r="M22" s="40">
        <f t="shared" si="10"/>
        <v>0</v>
      </c>
      <c r="N22" s="40" t="e">
        <f t="shared" si="10"/>
        <v>#REF!</v>
      </c>
      <c r="O22" s="40"/>
      <c r="P22" s="40"/>
    </row>
    <row r="23" spans="3:24" ht="15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V23" s="40"/>
      <c r="W23" s="40"/>
      <c r="X23" s="40"/>
    </row>
    <row r="24" spans="7:24" ht="15">
      <c r="G24" s="344" t="s">
        <v>141</v>
      </c>
      <c r="H24" s="345"/>
      <c r="I24" s="61" t="s">
        <v>57</v>
      </c>
      <c r="J24" s="61" t="s">
        <v>8</v>
      </c>
      <c r="V24" s="40"/>
      <c r="W24" s="40"/>
      <c r="X24" s="40"/>
    </row>
    <row r="25" spans="7:25" ht="15">
      <c r="G25" s="335" t="s">
        <v>53</v>
      </c>
      <c r="H25" s="335"/>
      <c r="I25" s="40" t="e">
        <f>H18+K18-L18</f>
        <v>#REF!</v>
      </c>
      <c r="J25" s="40" t="e">
        <f>H22+K22-L22</f>
        <v>#REF!</v>
      </c>
      <c r="K25" s="40"/>
      <c r="L25" s="40"/>
      <c r="Y25" s="40"/>
    </row>
    <row r="26" spans="7:12" ht="15">
      <c r="G26" s="335" t="s">
        <v>54</v>
      </c>
      <c r="H26" s="335"/>
      <c r="I26" s="40" t="e">
        <f>I25*0.06</f>
        <v>#REF!</v>
      </c>
      <c r="J26" s="40" t="e">
        <f>J25*0.06</f>
        <v>#REF!</v>
      </c>
      <c r="K26" s="40"/>
      <c r="L26" s="40"/>
    </row>
    <row r="27" spans="7:17" ht="15">
      <c r="G27" s="335" t="s">
        <v>55</v>
      </c>
      <c r="H27" s="335"/>
      <c r="I27" s="40" t="e">
        <f>H18*0.02</f>
        <v>#REF!</v>
      </c>
      <c r="J27" s="40" t="e">
        <f>H22*0.02</f>
        <v>#REF!</v>
      </c>
      <c r="K27" s="40"/>
      <c r="L27" s="40"/>
      <c r="Q27" s="48"/>
    </row>
    <row r="28" spans="7:12" ht="15.75" thickBot="1">
      <c r="G28" s="335" t="s">
        <v>36</v>
      </c>
      <c r="H28" s="335"/>
      <c r="I28" s="44">
        <f>'COP TUXTLA'!S85</f>
        <v>25169.65620299588</v>
      </c>
      <c r="J28" s="44">
        <f>I28</f>
        <v>25169.65620299588</v>
      </c>
      <c r="K28" s="43"/>
      <c r="L28" s="43"/>
    </row>
    <row r="29" spans="7:12" ht="15">
      <c r="G29" s="335" t="s">
        <v>30</v>
      </c>
      <c r="H29" s="335"/>
      <c r="I29" s="40" t="e">
        <f>SUM(I25:I28)</f>
        <v>#REF!</v>
      </c>
      <c r="J29" s="40" t="e">
        <f>SUM(J25:J28)</f>
        <v>#REF!</v>
      </c>
      <c r="K29" s="54"/>
      <c r="L29" s="54"/>
    </row>
    <row r="30" spans="7:12" ht="15.75" thickBot="1">
      <c r="G30" s="335" t="s">
        <v>62</v>
      </c>
      <c r="H30" s="335"/>
      <c r="I30" s="42" t="e">
        <f>I29*0.16</f>
        <v>#REF!</v>
      </c>
      <c r="J30" s="42" t="e">
        <f>J29*0.16</f>
        <v>#REF!</v>
      </c>
      <c r="K30" s="54"/>
      <c r="L30" s="54"/>
    </row>
    <row r="31" spans="7:12" ht="15">
      <c r="G31" s="335" t="s">
        <v>8</v>
      </c>
      <c r="H31" s="335"/>
      <c r="I31" s="40" t="e">
        <f>I29+I30</f>
        <v>#REF!</v>
      </c>
      <c r="J31" s="40" t="e">
        <f>J29+J30</f>
        <v>#REF!</v>
      </c>
      <c r="K31" s="54"/>
      <c r="L31" s="54"/>
    </row>
    <row r="32" ht="15">
      <c r="J32" s="40"/>
    </row>
    <row r="33" ht="15">
      <c r="J33" s="40" t="e">
        <f>J31+J32</f>
        <v>#REF!</v>
      </c>
    </row>
    <row r="35" spans="7:11" ht="15">
      <c r="G35" s="52"/>
      <c r="H35" s="53"/>
      <c r="I35" s="53"/>
      <c r="J35" s="53"/>
      <c r="K35" s="53"/>
    </row>
    <row r="37" ht="15">
      <c r="M37" s="40"/>
    </row>
    <row r="38" ht="15">
      <c r="M38" s="40"/>
    </row>
    <row r="39" ht="15">
      <c r="M39" s="40"/>
    </row>
  </sheetData>
  <sheetProtection/>
  <mergeCells count="31">
    <mergeCell ref="G29:H29"/>
    <mergeCell ref="G30:H30"/>
    <mergeCell ref="G31:H31"/>
    <mergeCell ref="G24:H24"/>
    <mergeCell ref="G25:H25"/>
    <mergeCell ref="G26:H26"/>
    <mergeCell ref="G27:H27"/>
    <mergeCell ref="G28:H28"/>
    <mergeCell ref="A6:B6"/>
    <mergeCell ref="C16:G16"/>
    <mergeCell ref="H16:H17"/>
    <mergeCell ref="I16:M16"/>
    <mergeCell ref="N16:N17"/>
    <mergeCell ref="F4:F5"/>
    <mergeCell ref="G4:G5"/>
    <mergeCell ref="H4:H5"/>
    <mergeCell ref="W4:X4"/>
    <mergeCell ref="I4:I5"/>
    <mergeCell ref="J4:N4"/>
    <mergeCell ref="O4:O5"/>
    <mergeCell ref="P16:P17"/>
    <mergeCell ref="P4:T4"/>
    <mergeCell ref="U4:U5"/>
    <mergeCell ref="V4:V5"/>
    <mergeCell ref="A2:I2"/>
    <mergeCell ref="A3:I3"/>
    <mergeCell ref="A4:A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" footer="0"/>
  <pageSetup horizontalDpi="120" verticalDpi="120" orientation="landscape" scale="2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2:AE40"/>
  <sheetViews>
    <sheetView view="pageBreakPreview" zoomScale="60" zoomScalePageLayoutView="0" workbookViewId="0" topLeftCell="A1">
      <pane xSplit="2" topLeftCell="P1" activePane="topRight" state="frozen"/>
      <selection pane="topLeft" activeCell="A4" sqref="A4"/>
      <selection pane="topRight" activeCell="AA19" sqref="AA19"/>
    </sheetView>
  </sheetViews>
  <sheetFormatPr defaultColWidth="11.421875" defaultRowHeight="15"/>
  <cols>
    <col min="1" max="1" width="7.57421875" style="119" customWidth="1"/>
    <col min="2" max="2" width="38.57421875" style="0" customWidth="1"/>
    <col min="3" max="3" width="16.57421875" style="0" customWidth="1"/>
    <col min="4" max="4" width="13.00390625" style="0" customWidth="1"/>
    <col min="5" max="5" width="20.421875" style="0" customWidth="1"/>
    <col min="6" max="6" width="24.7109375" style="118" customWidth="1"/>
    <col min="7" max="7" width="13.00390625" style="118" customWidth="1"/>
    <col min="8" max="8" width="13.00390625" style="0" customWidth="1"/>
    <col min="9" max="9" width="15.57421875" style="0" customWidth="1"/>
    <col min="10" max="10" width="14.7109375" style="0" customWidth="1"/>
    <col min="11" max="11" width="14.421875" style="0" customWidth="1"/>
    <col min="12" max="12" width="14.8515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142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16</v>
      </c>
      <c r="J7" s="38" t="e">
        <f>G7*I7</f>
        <v>#REF!</v>
      </c>
      <c r="K7" s="38" t="e">
        <f>J7*0.1</f>
        <v>#REF!</v>
      </c>
      <c r="L7" s="38" t="e">
        <f>J7*0.1</f>
        <v>#REF!</v>
      </c>
      <c r="M7" s="38" t="e">
        <f>J7*0.15</f>
        <v>#REF!</v>
      </c>
      <c r="N7" s="38">
        <v>248</v>
      </c>
      <c r="O7" s="38" t="e">
        <f>SUM(J7:N7)</f>
        <v>#REF!</v>
      </c>
      <c r="P7" s="31" t="e">
        <f>'calculo ISR Febrero'!O46-'15 DE NOVIEMBRE'!P7</f>
        <v>#REF!</v>
      </c>
      <c r="Q7" s="31" t="e">
        <f>'calculo ISR Febrero'!P46-'15 DE NOVIEMBRE'!Q7</f>
        <v>#REF!</v>
      </c>
      <c r="R7" s="31">
        <v>0</v>
      </c>
      <c r="S7" s="31" t="e">
        <f>P7-Q7</f>
        <v>#REF!</v>
      </c>
      <c r="T7" s="31"/>
      <c r="U7" s="31" t="e">
        <f>R7+S7+T7</f>
        <v>#REF!</v>
      </c>
      <c r="V7" s="31" t="e">
        <f>O7-U7</f>
        <v>#REF!</v>
      </c>
      <c r="W7" s="31"/>
      <c r="X7" s="95" t="e">
        <f>V7-W7</f>
        <v>#REF!</v>
      </c>
      <c r="Y7" s="104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15</v>
      </c>
      <c r="J8" s="38" t="e">
        <f aca="true" t="shared" si="0" ref="J8:J14">G8*I8</f>
        <v>#REF!</v>
      </c>
      <c r="K8" s="38" t="e">
        <f>J8*0.075</f>
        <v>#REF!</v>
      </c>
      <c r="L8" s="38" t="e">
        <f aca="true" t="shared" si="1" ref="L8:L14">J8*0.1</f>
        <v>#REF!</v>
      </c>
      <c r="M8" s="38" t="e">
        <f aca="true" t="shared" si="2" ref="M8:M14">J8*0.15</f>
        <v>#REF!</v>
      </c>
      <c r="N8" s="38">
        <v>248</v>
      </c>
      <c r="O8" s="38" t="e">
        <f aca="true" t="shared" si="3" ref="O8:O14">SUM(J8:N8)</f>
        <v>#REF!</v>
      </c>
      <c r="P8" s="31" t="e">
        <f>'calculo ISR Febrero'!O47-'15 DE NOVIEMBRE'!P8</f>
        <v>#REF!</v>
      </c>
      <c r="Q8" s="31" t="e">
        <f>'calculo ISR Febrero'!P47-'15 DE NOVIEMBRE'!Q8</f>
        <v>#REF!</v>
      </c>
      <c r="R8" s="31">
        <v>0</v>
      </c>
      <c r="S8" s="31" t="e">
        <f aca="true" t="shared" si="4" ref="S8:S14">P8-Q8</f>
        <v>#REF!</v>
      </c>
      <c r="T8" s="31"/>
      <c r="U8" s="31" t="e">
        <f aca="true" t="shared" si="5" ref="U8:U14">R8+S8+T8</f>
        <v>#REF!</v>
      </c>
      <c r="V8" s="31" t="e">
        <f aca="true" t="shared" si="6" ref="V8:V14">O8-U8</f>
        <v>#REF!</v>
      </c>
      <c r="W8" s="31"/>
      <c r="X8" s="95" t="e">
        <f aca="true" t="shared" si="7" ref="X8:X14">V8-W8</f>
        <v>#REF!</v>
      </c>
      <c r="Y8" s="104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15</v>
      </c>
      <c r="J9" s="38" t="e">
        <f t="shared" si="0"/>
        <v>#REF!</v>
      </c>
      <c r="K9" s="38" t="e">
        <f aca="true" t="shared" si="8" ref="K9:K14">J9*0.1</f>
        <v>#REF!</v>
      </c>
      <c r="L9" s="38" t="e">
        <f t="shared" si="1"/>
        <v>#REF!</v>
      </c>
      <c r="M9" s="38" t="e">
        <f t="shared" si="2"/>
        <v>#REF!</v>
      </c>
      <c r="N9" s="38">
        <v>248</v>
      </c>
      <c r="O9" s="38" t="e">
        <f t="shared" si="3"/>
        <v>#REF!</v>
      </c>
      <c r="P9" s="31" t="e">
        <f>'calculo ISR Febrero'!O48-'15 DE NOVIEMBRE'!P9</f>
        <v>#REF!</v>
      </c>
      <c r="Q9" s="31" t="e">
        <f>'calculo ISR Febrero'!P48-'15 DE NOVIEMBRE'!Q9</f>
        <v>#REF!</v>
      </c>
      <c r="R9" s="31">
        <v>0</v>
      </c>
      <c r="S9" s="31" t="e">
        <f t="shared" si="4"/>
        <v>#REF!</v>
      </c>
      <c r="T9" s="31"/>
      <c r="U9" s="31" t="e">
        <f t="shared" si="5"/>
        <v>#REF!</v>
      </c>
      <c r="V9" s="31" t="e">
        <f t="shared" si="6"/>
        <v>#REF!</v>
      </c>
      <c r="W9" s="31"/>
      <c r="X9" s="95" t="e">
        <f t="shared" si="7"/>
        <v>#REF!</v>
      </c>
      <c r="Y9" s="104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15</v>
      </c>
      <c r="J10" s="38" t="e">
        <f t="shared" si="0"/>
        <v>#REF!</v>
      </c>
      <c r="K10" s="38" t="e">
        <f t="shared" si="8"/>
        <v>#REF!</v>
      </c>
      <c r="L10" s="38" t="e">
        <f t="shared" si="1"/>
        <v>#REF!</v>
      </c>
      <c r="M10" s="38" t="e">
        <f t="shared" si="2"/>
        <v>#REF!</v>
      </c>
      <c r="N10" s="38">
        <v>248</v>
      </c>
      <c r="O10" s="38" t="e">
        <f t="shared" si="3"/>
        <v>#REF!</v>
      </c>
      <c r="P10" s="31" t="e">
        <f>'calculo ISR Febrero'!O49-'15 DE NOVIEMBRE'!P10</f>
        <v>#REF!</v>
      </c>
      <c r="Q10" s="31" t="e">
        <f>'calculo ISR Febrero'!P49-'15 DE NOVIEMBRE'!Q10</f>
        <v>#REF!</v>
      </c>
      <c r="R10" s="31">
        <v>0</v>
      </c>
      <c r="S10" s="31" t="e">
        <f t="shared" si="4"/>
        <v>#REF!</v>
      </c>
      <c r="T10" s="31"/>
      <c r="U10" s="31" t="e">
        <f t="shared" si="5"/>
        <v>#REF!</v>
      </c>
      <c r="V10" s="31" t="e">
        <f t="shared" si="6"/>
        <v>#REF!</v>
      </c>
      <c r="W10" s="31"/>
      <c r="X10" s="95" t="e">
        <f>V10-W10</f>
        <v>#REF!</v>
      </c>
      <c r="Y10" s="105">
        <v>2714169867</v>
      </c>
      <c r="Z10" s="40"/>
      <c r="AA10" s="56"/>
      <c r="AB10" s="25"/>
      <c r="AC10" s="25"/>
      <c r="AD10" s="25"/>
      <c r="AE10" s="25"/>
    </row>
    <row r="11" spans="1:31" ht="1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15</v>
      </c>
      <c r="J11" s="38" t="e">
        <f t="shared" si="0"/>
        <v>#REF!</v>
      </c>
      <c r="K11" s="38" t="e">
        <f t="shared" si="8"/>
        <v>#REF!</v>
      </c>
      <c r="L11" s="38" t="e">
        <f t="shared" si="1"/>
        <v>#REF!</v>
      </c>
      <c r="M11" s="38" t="e">
        <f t="shared" si="2"/>
        <v>#REF!</v>
      </c>
      <c r="N11" s="38">
        <v>244</v>
      </c>
      <c r="O11" s="38" t="e">
        <f t="shared" si="3"/>
        <v>#REF!</v>
      </c>
      <c r="P11" s="31" t="e">
        <f>'calculo ISR Febrero'!#REF!-'15 DE NOVIEMBRE'!P11</f>
        <v>#REF!</v>
      </c>
      <c r="Q11" s="31" t="e">
        <f>'calculo ISR Febrero'!#REF!-'15 DE NOVIEMBRE'!Q11</f>
        <v>#REF!</v>
      </c>
      <c r="R11" s="31">
        <v>0</v>
      </c>
      <c r="S11" s="31" t="e">
        <f t="shared" si="4"/>
        <v>#REF!</v>
      </c>
      <c r="T11" s="31"/>
      <c r="U11" s="31" t="e">
        <f t="shared" si="5"/>
        <v>#REF!</v>
      </c>
      <c r="V11" s="31" t="e">
        <f t="shared" si="6"/>
        <v>#REF!</v>
      </c>
      <c r="W11" s="31"/>
      <c r="X11" s="95" t="e">
        <f t="shared" si="7"/>
        <v>#REF!</v>
      </c>
      <c r="Y11" s="106">
        <v>2753982734</v>
      </c>
      <c r="Z11" s="40"/>
      <c r="AA11" s="57"/>
      <c r="AB11" s="25"/>
      <c r="AC11" s="25"/>
      <c r="AD11" s="25"/>
      <c r="AE11" s="25"/>
    </row>
    <row r="12" spans="1:31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15</v>
      </c>
      <c r="J12" s="38" t="e">
        <f t="shared" si="0"/>
        <v>#REF!</v>
      </c>
      <c r="K12" s="38" t="e">
        <f>J12*0.075</f>
        <v>#REF!</v>
      </c>
      <c r="L12" s="38" t="e">
        <f t="shared" si="1"/>
        <v>#REF!</v>
      </c>
      <c r="M12" s="38" t="e">
        <f t="shared" si="2"/>
        <v>#REF!</v>
      </c>
      <c r="N12" s="38">
        <v>244</v>
      </c>
      <c r="O12" s="38" t="e">
        <f t="shared" si="3"/>
        <v>#REF!</v>
      </c>
      <c r="P12" s="31" t="e">
        <f>'calculo ISR Febrero'!O50-'15 DE NOVIEMBRE'!P12</f>
        <v>#REF!</v>
      </c>
      <c r="Q12" s="31" t="e">
        <f>'calculo ISR Febrero'!P50-'15 DE NOVIEMBRE'!Q12</f>
        <v>#REF!</v>
      </c>
      <c r="R12" s="31">
        <v>0</v>
      </c>
      <c r="S12" s="31" t="e">
        <f t="shared" si="4"/>
        <v>#REF!</v>
      </c>
      <c r="T12" s="31"/>
      <c r="U12" s="31" t="e">
        <f t="shared" si="5"/>
        <v>#REF!</v>
      </c>
      <c r="V12" s="31" t="e">
        <f t="shared" si="6"/>
        <v>#REF!</v>
      </c>
      <c r="W12" s="31"/>
      <c r="X12" s="95" t="e">
        <f>V12-W12</f>
        <v>#REF!</v>
      </c>
      <c r="Y12" s="106">
        <v>2758909075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85.12</v>
      </c>
      <c r="H13" s="31" t="e">
        <f>#REF!</f>
        <v>#REF!</v>
      </c>
      <c r="I13" s="55">
        <v>14</v>
      </c>
      <c r="J13" s="38">
        <f t="shared" si="0"/>
        <v>1191.68</v>
      </c>
      <c r="K13" s="38">
        <f>J13*0.075</f>
        <v>89.376</v>
      </c>
      <c r="L13" s="38">
        <f>J13*0.075</f>
        <v>89.376</v>
      </c>
      <c r="M13" s="38">
        <f t="shared" si="2"/>
        <v>178.752</v>
      </c>
      <c r="N13" s="38">
        <v>244</v>
      </c>
      <c r="O13" s="38">
        <f t="shared" si="3"/>
        <v>1793.184</v>
      </c>
      <c r="P13" s="31" t="e">
        <f>'calculo ISR Febrero'!O51-'15 DE NOVIEMBRE'!P13</f>
        <v>#REF!</v>
      </c>
      <c r="Q13" s="31" t="e">
        <f>'calculo ISR Febrero'!P51-'15 DE NOVIEMBRE'!Q13</f>
        <v>#REF!</v>
      </c>
      <c r="R13" s="31">
        <v>0</v>
      </c>
      <c r="S13" s="31" t="e">
        <f t="shared" si="4"/>
        <v>#REF!</v>
      </c>
      <c r="T13" s="31"/>
      <c r="U13" s="31" t="e">
        <f t="shared" si="5"/>
        <v>#REF!</v>
      </c>
      <c r="V13" s="31" t="e">
        <f t="shared" si="6"/>
        <v>#REF!</v>
      </c>
      <c r="W13" s="31"/>
      <c r="X13" s="95" t="e">
        <f>V13-W13</f>
        <v>#REF!</v>
      </c>
      <c r="Y13" s="103">
        <v>2783684466</v>
      </c>
      <c r="Z13" s="40"/>
      <c r="AA13" s="25"/>
      <c r="AB13" s="25"/>
      <c r="AC13" s="25"/>
      <c r="AD13" s="25"/>
      <c r="AE13" s="25"/>
    </row>
    <row r="14" spans="1:31" ht="15">
      <c r="A14" s="32" t="s">
        <v>57</v>
      </c>
      <c r="B14" s="28" t="s">
        <v>87</v>
      </c>
      <c r="C14" s="29">
        <v>71098933956</v>
      </c>
      <c r="D14" s="30" t="s">
        <v>59</v>
      </c>
      <c r="E14" s="36" t="s">
        <v>85</v>
      </c>
      <c r="F14" s="36" t="s">
        <v>86</v>
      </c>
      <c r="G14" s="31">
        <v>85.12</v>
      </c>
      <c r="H14" s="31" t="e">
        <f>#REF!</f>
        <v>#REF!</v>
      </c>
      <c r="I14" s="55">
        <v>15</v>
      </c>
      <c r="J14" s="38">
        <f t="shared" si="0"/>
        <v>1276.8000000000002</v>
      </c>
      <c r="K14" s="38">
        <f t="shared" si="8"/>
        <v>127.68000000000002</v>
      </c>
      <c r="L14" s="38">
        <f t="shared" si="1"/>
        <v>127.68000000000002</v>
      </c>
      <c r="M14" s="38">
        <f t="shared" si="2"/>
        <v>191.52</v>
      </c>
      <c r="N14" s="38">
        <v>248</v>
      </c>
      <c r="O14" s="38">
        <f t="shared" si="3"/>
        <v>1971.6800000000003</v>
      </c>
      <c r="P14" s="31" t="e">
        <f>'calculo ISR Febrero'!O52-'15 DE NOVIEMBRE'!P14</f>
        <v>#REF!</v>
      </c>
      <c r="Q14" s="31" t="e">
        <f>'calculo ISR Febrero'!P52-'15 DE NOVIEMBRE'!Q14</f>
        <v>#REF!</v>
      </c>
      <c r="R14" s="31">
        <v>0</v>
      </c>
      <c r="S14" s="31" t="e">
        <f t="shared" si="4"/>
        <v>#REF!</v>
      </c>
      <c r="T14" s="31"/>
      <c r="U14" s="31" t="e">
        <f t="shared" si="5"/>
        <v>#REF!</v>
      </c>
      <c r="V14" s="31" t="e">
        <f t="shared" si="6"/>
        <v>#REF!</v>
      </c>
      <c r="W14" s="31"/>
      <c r="X14" s="95" t="e">
        <f t="shared" si="7"/>
        <v>#REF!</v>
      </c>
      <c r="Y14" s="106">
        <v>2710232416</v>
      </c>
      <c r="Z14" s="40"/>
      <c r="AA14" s="25"/>
      <c r="AB14" s="25"/>
      <c r="AC14" s="25"/>
      <c r="AD14" s="25"/>
      <c r="AE14" s="25"/>
    </row>
    <row r="15" spans="1:25" ht="15">
      <c r="A15" s="27"/>
      <c r="B15" s="25"/>
      <c r="C15" s="25"/>
      <c r="D15" s="25"/>
      <c r="E15" s="37"/>
      <c r="F15" s="37"/>
      <c r="G15" s="25"/>
      <c r="H15" s="49"/>
      <c r="I15" s="119"/>
      <c r="J15" s="41" t="e">
        <f aca="true" t="shared" si="9" ref="J15:X15">SUM(J7:J14)</f>
        <v>#REF!</v>
      </c>
      <c r="K15" s="41" t="e">
        <f t="shared" si="9"/>
        <v>#REF!</v>
      </c>
      <c r="L15" s="41" t="e">
        <f t="shared" si="9"/>
        <v>#REF!</v>
      </c>
      <c r="M15" s="41" t="e">
        <f t="shared" si="9"/>
        <v>#REF!</v>
      </c>
      <c r="N15" s="41">
        <f t="shared" si="9"/>
        <v>1972</v>
      </c>
      <c r="O15" s="41" t="e">
        <f t="shared" si="9"/>
        <v>#REF!</v>
      </c>
      <c r="P15" s="41" t="e">
        <f t="shared" si="9"/>
        <v>#REF!</v>
      </c>
      <c r="Q15" s="41" t="e">
        <f t="shared" si="9"/>
        <v>#REF!</v>
      </c>
      <c r="R15" s="41">
        <f t="shared" si="9"/>
        <v>0</v>
      </c>
      <c r="S15" s="41" t="e">
        <f t="shared" si="9"/>
        <v>#REF!</v>
      </c>
      <c r="T15" s="41">
        <f t="shared" si="9"/>
        <v>0</v>
      </c>
      <c r="U15" s="41" t="e">
        <f t="shared" si="9"/>
        <v>#REF!</v>
      </c>
      <c r="V15" s="41" t="e">
        <f t="shared" si="9"/>
        <v>#REF!</v>
      </c>
      <c r="W15" s="41">
        <f>SUM(W7:W14)</f>
        <v>0</v>
      </c>
      <c r="X15" s="41" t="e">
        <f t="shared" si="9"/>
        <v>#REF!</v>
      </c>
      <c r="Y15" s="25"/>
    </row>
    <row r="16" spans="9:23" ht="25.5" customHeight="1">
      <c r="I16" s="119"/>
      <c r="W16" s="62"/>
    </row>
    <row r="17" spans="3:24" ht="15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4"/>
      <c r="N17" s="341" t="s">
        <v>50</v>
      </c>
      <c r="O17" s="33"/>
      <c r="P17" s="341" t="s">
        <v>51</v>
      </c>
      <c r="W17" s="62" t="s">
        <v>97</v>
      </c>
      <c r="X17" s="40"/>
    </row>
    <row r="18" spans="3:23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4" t="s">
        <v>49</v>
      </c>
      <c r="N18" s="342"/>
      <c r="O18" s="33"/>
      <c r="P18" s="342"/>
      <c r="U18" s="40"/>
      <c r="W18" s="62"/>
    </row>
    <row r="19" spans="2:24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M15</f>
        <v>#REF!</v>
      </c>
      <c r="G19" s="46">
        <f>N15</f>
        <v>1972</v>
      </c>
      <c r="H19" s="43" t="e">
        <f aca="true" t="shared" si="10" ref="H19:N19">O15</f>
        <v>#REF!</v>
      </c>
      <c r="I19" s="43" t="e">
        <f t="shared" si="10"/>
        <v>#REF!</v>
      </c>
      <c r="J19" s="43" t="e">
        <f t="shared" si="10"/>
        <v>#REF!</v>
      </c>
      <c r="K19" s="43">
        <f t="shared" si="10"/>
        <v>0</v>
      </c>
      <c r="L19" s="43" t="e">
        <f t="shared" si="10"/>
        <v>#REF!</v>
      </c>
      <c r="M19" s="43">
        <f t="shared" si="10"/>
        <v>0</v>
      </c>
      <c r="N19" s="43" t="e">
        <f t="shared" si="10"/>
        <v>#REF!</v>
      </c>
      <c r="O19" s="43"/>
      <c r="P19" s="43" t="e">
        <f>V15</f>
        <v>#REF!</v>
      </c>
      <c r="V19" s="40"/>
      <c r="W19" s="40"/>
      <c r="X19" s="40"/>
    </row>
    <row r="20" spans="3:21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  <c r="U20" s="40"/>
    </row>
    <row r="21" spans="3:24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  <c r="U21" s="48"/>
      <c r="V21" s="40"/>
      <c r="W21" s="40"/>
      <c r="X21" s="40"/>
    </row>
    <row r="22" spans="3:16" ht="15">
      <c r="C22" s="40"/>
      <c r="D22" s="40"/>
      <c r="E22" s="40"/>
      <c r="F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3:16" ht="15">
      <c r="C23" s="40" t="e">
        <f>SUM(C19:C22)</f>
        <v>#REF!</v>
      </c>
      <c r="D23" s="40" t="e">
        <f>SUM(D19:D22)</f>
        <v>#REF!</v>
      </c>
      <c r="E23" s="40" t="e">
        <f>SUM(E19:E22)</f>
        <v>#REF!</v>
      </c>
      <c r="F23" s="40" t="e">
        <f>SUM(F19:F22)</f>
        <v>#REF!</v>
      </c>
      <c r="H23" s="40" t="e">
        <f aca="true" t="shared" si="11" ref="H23:N23">SUM(H19:H22)</f>
        <v>#REF!</v>
      </c>
      <c r="I23" s="40" t="e">
        <f t="shared" si="11"/>
        <v>#REF!</v>
      </c>
      <c r="J23" s="40" t="e">
        <f t="shared" si="11"/>
        <v>#REF!</v>
      </c>
      <c r="K23" s="40">
        <f t="shared" si="11"/>
        <v>0</v>
      </c>
      <c r="L23" s="40" t="e">
        <f t="shared" si="11"/>
        <v>#REF!</v>
      </c>
      <c r="M23" s="40">
        <f t="shared" si="11"/>
        <v>0</v>
      </c>
      <c r="N23" s="40" t="e">
        <f t="shared" si="11"/>
        <v>#REF!</v>
      </c>
      <c r="O23" s="40"/>
      <c r="P23" s="40"/>
    </row>
    <row r="24" spans="3:24" ht="1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V24" s="40"/>
      <c r="W24" s="40"/>
      <c r="X24" s="40"/>
    </row>
    <row r="25" spans="7:24" ht="15">
      <c r="G25" s="344" t="s">
        <v>141</v>
      </c>
      <c r="H25" s="345"/>
      <c r="I25" s="61" t="s">
        <v>57</v>
      </c>
      <c r="J25" s="61" t="s">
        <v>8</v>
      </c>
      <c r="V25" s="40"/>
      <c r="W25" s="40"/>
      <c r="X25" s="40"/>
    </row>
    <row r="26" spans="7:25" ht="15">
      <c r="G26" s="335" t="s">
        <v>53</v>
      </c>
      <c r="H26" s="335"/>
      <c r="I26" s="40" t="e">
        <f>H19+K19-L19</f>
        <v>#REF!</v>
      </c>
      <c r="J26" s="40" t="e">
        <f>H23+K23-L23</f>
        <v>#REF!</v>
      </c>
      <c r="K26" s="40"/>
      <c r="L26" s="40"/>
      <c r="Y26" s="40"/>
    </row>
    <row r="27" spans="7:12" ht="15">
      <c r="G27" s="335" t="s">
        <v>54</v>
      </c>
      <c r="H27" s="335"/>
      <c r="I27" s="40" t="e">
        <f>I26*0.06</f>
        <v>#REF!</v>
      </c>
      <c r="J27" s="40" t="e">
        <f>J26*0.06</f>
        <v>#REF!</v>
      </c>
      <c r="K27" s="40"/>
      <c r="L27" s="40"/>
    </row>
    <row r="28" spans="7:17" ht="15">
      <c r="G28" s="335" t="s">
        <v>55</v>
      </c>
      <c r="H28" s="335"/>
      <c r="I28" s="40" t="e">
        <f>H19*0.02</f>
        <v>#REF!</v>
      </c>
      <c r="J28" s="40" t="e">
        <f>H23*0.02</f>
        <v>#REF!</v>
      </c>
      <c r="K28" s="40"/>
      <c r="L28" s="40"/>
      <c r="Q28" s="48"/>
    </row>
    <row r="29" spans="7:12" ht="15.75" thickBot="1">
      <c r="G29" s="335" t="s">
        <v>36</v>
      </c>
      <c r="H29" s="335"/>
      <c r="I29" s="44">
        <f>'COP TUXTLA'!S85</f>
        <v>25169.65620299588</v>
      </c>
      <c r="J29" s="44">
        <f>I29</f>
        <v>25169.65620299588</v>
      </c>
      <c r="K29" s="43"/>
      <c r="L29" s="43"/>
    </row>
    <row r="30" spans="7:12" ht="15">
      <c r="G30" s="335" t="s">
        <v>30</v>
      </c>
      <c r="H30" s="335"/>
      <c r="I30" s="40" t="e">
        <f>SUM(I26:I29)</f>
        <v>#REF!</v>
      </c>
      <c r="J30" s="40" t="e">
        <f>SUM(J26:J29)</f>
        <v>#REF!</v>
      </c>
      <c r="K30" s="54"/>
      <c r="L30" s="54"/>
    </row>
    <row r="31" spans="7:12" ht="15.75" thickBot="1">
      <c r="G31" s="335" t="s">
        <v>62</v>
      </c>
      <c r="H31" s="335"/>
      <c r="I31" s="42" t="e">
        <f>I30*0.16</f>
        <v>#REF!</v>
      </c>
      <c r="J31" s="42" t="e">
        <f>J30*0.16</f>
        <v>#REF!</v>
      </c>
      <c r="K31" s="54"/>
      <c r="L31" s="54"/>
    </row>
    <row r="32" spans="7:12" ht="15">
      <c r="G32" s="335" t="s">
        <v>8</v>
      </c>
      <c r="H32" s="335"/>
      <c r="I32" s="40" t="e">
        <f>I30+I31</f>
        <v>#REF!</v>
      </c>
      <c r="J32" s="40" t="e">
        <f>J30+J31</f>
        <v>#REF!</v>
      </c>
      <c r="K32" s="54"/>
      <c r="L32" s="54"/>
    </row>
    <row r="33" ht="15">
      <c r="J33" s="40"/>
    </row>
    <row r="34" ht="15">
      <c r="J34" s="40" t="e">
        <f>J32+J33</f>
        <v>#REF!</v>
      </c>
    </row>
    <row r="36" spans="7:11" ht="15">
      <c r="G36" s="52"/>
      <c r="H36" s="53"/>
      <c r="I36" s="53"/>
      <c r="J36" s="53"/>
      <c r="K36" s="53"/>
    </row>
    <row r="38" ht="15">
      <c r="M38" s="40"/>
    </row>
    <row r="39" ht="15">
      <c r="M39" s="40"/>
    </row>
    <row r="40" ht="15">
      <c r="M40" s="40"/>
    </row>
  </sheetData>
  <sheetProtection/>
  <mergeCells count="31">
    <mergeCell ref="A2:I2"/>
    <mergeCell ref="A3:I3"/>
    <mergeCell ref="A4:A5"/>
    <mergeCell ref="B4:B5"/>
    <mergeCell ref="C4:C5"/>
    <mergeCell ref="D4:D5"/>
    <mergeCell ref="E4:E5"/>
    <mergeCell ref="W4:X4"/>
    <mergeCell ref="I4:I5"/>
    <mergeCell ref="J4:N4"/>
    <mergeCell ref="O4:O5"/>
    <mergeCell ref="P17:P18"/>
    <mergeCell ref="P4:T4"/>
    <mergeCell ref="U4:U5"/>
    <mergeCell ref="V4:V5"/>
    <mergeCell ref="A6:B6"/>
    <mergeCell ref="C17:G17"/>
    <mergeCell ref="H17:H18"/>
    <mergeCell ref="I17:M17"/>
    <mergeCell ref="N17:N18"/>
    <mergeCell ref="F4:F5"/>
    <mergeCell ref="G4:G5"/>
    <mergeCell ref="H4:H5"/>
    <mergeCell ref="G30:H30"/>
    <mergeCell ref="G31:H31"/>
    <mergeCell ref="G32:H32"/>
    <mergeCell ref="G25:H25"/>
    <mergeCell ref="G26:H26"/>
    <mergeCell ref="G27:H27"/>
    <mergeCell ref="G28:H28"/>
    <mergeCell ref="G29:H29"/>
  </mergeCells>
  <printOptions/>
  <pageMargins left="0.7480314960629921" right="0.7480314960629921" top="0.984251968503937" bottom="0.984251968503937" header="0" footer="0"/>
  <pageSetup horizontalDpi="120" verticalDpi="120" orientation="landscape" scale="2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2:AE40"/>
  <sheetViews>
    <sheetView zoomScalePageLayoutView="0" workbookViewId="0" topLeftCell="A1">
      <pane xSplit="2" topLeftCell="V1" activePane="topRight" state="frozen"/>
      <selection pane="topLeft" activeCell="A4" sqref="A4"/>
      <selection pane="topRight" activeCell="Z17" sqref="Z17"/>
    </sheetView>
  </sheetViews>
  <sheetFormatPr defaultColWidth="11.421875" defaultRowHeight="15"/>
  <cols>
    <col min="1" max="1" width="7.57421875" style="117" customWidth="1"/>
    <col min="2" max="2" width="38.57421875" style="0" customWidth="1"/>
    <col min="3" max="3" width="16.57421875" style="0" customWidth="1"/>
    <col min="4" max="4" width="13.00390625" style="0" customWidth="1"/>
    <col min="5" max="5" width="20.421875" style="0" customWidth="1"/>
    <col min="6" max="6" width="24.7109375" style="116" customWidth="1"/>
    <col min="7" max="7" width="13.00390625" style="116" customWidth="1"/>
    <col min="8" max="8" width="13.00390625" style="0" customWidth="1"/>
    <col min="9" max="9" width="15.57421875" style="0" customWidth="1"/>
    <col min="10" max="10" width="14.7109375" style="0" customWidth="1"/>
    <col min="11" max="11" width="14.421875" style="0" customWidth="1"/>
    <col min="12" max="12" width="14.8515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140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15</v>
      </c>
      <c r="J7" s="38" t="e">
        <f>G7*I7</f>
        <v>#REF!</v>
      </c>
      <c r="K7" s="38" t="e">
        <f>J7*0.1</f>
        <v>#REF!</v>
      </c>
      <c r="L7" s="38" t="e">
        <f>J7*0.1</f>
        <v>#REF!</v>
      </c>
      <c r="M7" s="38" t="e">
        <f>J7*0.15</f>
        <v>#REF!</v>
      </c>
      <c r="N7" s="38">
        <v>10</v>
      </c>
      <c r="O7" s="109" t="e">
        <f>SUM(J7:N7)</f>
        <v>#REF!</v>
      </c>
      <c r="P7" s="31" t="e">
        <f>'calculo ISR Febrero'!O34</f>
        <v>#REF!</v>
      </c>
      <c r="Q7" s="31" t="e">
        <f>'calculo ISR Febrero'!P34</f>
        <v>#REF!</v>
      </c>
      <c r="R7" s="31">
        <v>0</v>
      </c>
      <c r="S7" s="31" t="e">
        <f>P7-Q7</f>
        <v>#REF!</v>
      </c>
      <c r="T7" s="31"/>
      <c r="U7" s="31" t="e">
        <f>R7+S7+T7</f>
        <v>#REF!</v>
      </c>
      <c r="V7" s="31" t="e">
        <f>O7-U7</f>
        <v>#REF!</v>
      </c>
      <c r="W7" s="31"/>
      <c r="X7" s="31" t="e">
        <f>V7-W7</f>
        <v>#REF!</v>
      </c>
      <c r="Y7" s="104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13</v>
      </c>
      <c r="J8" s="38" t="e">
        <f>G8*I8</f>
        <v>#REF!</v>
      </c>
      <c r="K8" s="38" t="e">
        <f>J8*0.05</f>
        <v>#REF!</v>
      </c>
      <c r="L8" s="38" t="e">
        <f>J8*0.05</f>
        <v>#REF!</v>
      </c>
      <c r="M8" s="38" t="e">
        <f aca="true" t="shared" si="0" ref="M8:M14">J8*0.15</f>
        <v>#REF!</v>
      </c>
      <c r="N8" s="38">
        <v>10</v>
      </c>
      <c r="O8" s="109" t="e">
        <f aca="true" t="shared" si="1" ref="O8:O14">SUM(J8:N8)</f>
        <v>#REF!</v>
      </c>
      <c r="P8" s="31" t="e">
        <f>'calculo ISR Febrero'!O35</f>
        <v>#REF!</v>
      </c>
      <c r="Q8" s="31" t="e">
        <f>'calculo ISR Febrero'!P35</f>
        <v>#REF!</v>
      </c>
      <c r="R8" s="31">
        <v>0</v>
      </c>
      <c r="S8" s="31" t="e">
        <f aca="true" t="shared" si="2" ref="S8:S14">P8-Q8</f>
        <v>#REF!</v>
      </c>
      <c r="T8" s="31"/>
      <c r="U8" s="31" t="e">
        <f aca="true" t="shared" si="3" ref="U8:U14">R8+S8+T8</f>
        <v>#REF!</v>
      </c>
      <c r="V8" s="31" t="e">
        <f aca="true" t="shared" si="4" ref="V8:V14">O8-U8</f>
        <v>#REF!</v>
      </c>
      <c r="W8" s="31"/>
      <c r="X8" s="31" t="e">
        <f aca="true" t="shared" si="5" ref="X8:X14">V8-W8</f>
        <v>#REF!</v>
      </c>
      <c r="Y8" s="104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15</v>
      </c>
      <c r="J9" s="38" t="e">
        <f aca="true" t="shared" si="6" ref="J9:J14">G9*I9</f>
        <v>#REF!</v>
      </c>
      <c r="K9" s="38" t="e">
        <f aca="true" t="shared" si="7" ref="K9:K14">J9*0.1</f>
        <v>#REF!</v>
      </c>
      <c r="L9" s="38" t="e">
        <f aca="true" t="shared" si="8" ref="L9:L14">J9*0.1</f>
        <v>#REF!</v>
      </c>
      <c r="M9" s="38" t="e">
        <f t="shared" si="0"/>
        <v>#REF!</v>
      </c>
      <c r="N9" s="38">
        <v>10</v>
      </c>
      <c r="O9" s="109" t="e">
        <f t="shared" si="1"/>
        <v>#REF!</v>
      </c>
      <c r="P9" s="31" t="e">
        <f>'calculo ISR Febrero'!O36</f>
        <v>#REF!</v>
      </c>
      <c r="Q9" s="31" t="e">
        <f>'calculo ISR Febrero'!P36</f>
        <v>#REF!</v>
      </c>
      <c r="R9" s="31">
        <v>0</v>
      </c>
      <c r="S9" s="31" t="e">
        <f t="shared" si="2"/>
        <v>#REF!</v>
      </c>
      <c r="T9" s="31"/>
      <c r="U9" s="31" t="e">
        <f t="shared" si="3"/>
        <v>#REF!</v>
      </c>
      <c r="V9" s="31" t="e">
        <f t="shared" si="4"/>
        <v>#REF!</v>
      </c>
      <c r="W9" s="31"/>
      <c r="X9" s="31" t="e">
        <f t="shared" si="5"/>
        <v>#REF!</v>
      </c>
      <c r="Y9" s="104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15</v>
      </c>
      <c r="J10" s="38" t="e">
        <f t="shared" si="6"/>
        <v>#REF!</v>
      </c>
      <c r="K10" s="38" t="e">
        <f t="shared" si="7"/>
        <v>#REF!</v>
      </c>
      <c r="L10" s="38" t="e">
        <f t="shared" si="8"/>
        <v>#REF!</v>
      </c>
      <c r="M10" s="38" t="e">
        <f t="shared" si="0"/>
        <v>#REF!</v>
      </c>
      <c r="N10" s="38">
        <v>10</v>
      </c>
      <c r="O10" s="109" t="e">
        <f t="shared" si="1"/>
        <v>#REF!</v>
      </c>
      <c r="P10" s="31" t="e">
        <f>'calculo ISR Febrero'!O37</f>
        <v>#REF!</v>
      </c>
      <c r="Q10" s="31" t="e">
        <f>'calculo ISR Febrero'!P37</f>
        <v>#REF!</v>
      </c>
      <c r="R10" s="31">
        <v>0</v>
      </c>
      <c r="S10" s="31" t="e">
        <f t="shared" si="2"/>
        <v>#REF!</v>
      </c>
      <c r="T10" s="31"/>
      <c r="U10" s="31" t="e">
        <f t="shared" si="3"/>
        <v>#REF!</v>
      </c>
      <c r="V10" s="31" t="e">
        <f t="shared" si="4"/>
        <v>#REF!</v>
      </c>
      <c r="W10" s="31"/>
      <c r="X10" s="31" t="e">
        <f>V10-W10</f>
        <v>#REF!</v>
      </c>
      <c r="Y10" s="105">
        <v>2714169867</v>
      </c>
      <c r="Z10" s="40"/>
      <c r="AA10" s="56"/>
      <c r="AB10" s="25"/>
      <c r="AC10" s="25"/>
      <c r="AD10" s="25"/>
      <c r="AE10" s="25"/>
    </row>
    <row r="11" spans="1:31" ht="1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15</v>
      </c>
      <c r="J11" s="38" t="e">
        <f t="shared" si="6"/>
        <v>#REF!</v>
      </c>
      <c r="K11" s="38" t="e">
        <f t="shared" si="7"/>
        <v>#REF!</v>
      </c>
      <c r="L11" s="38" t="e">
        <f t="shared" si="8"/>
        <v>#REF!</v>
      </c>
      <c r="M11" s="38" t="e">
        <f t="shared" si="0"/>
        <v>#REF!</v>
      </c>
      <c r="N11" s="38">
        <v>10</v>
      </c>
      <c r="O11" s="109" t="e">
        <f t="shared" si="1"/>
        <v>#REF!</v>
      </c>
      <c r="P11" s="31" t="e">
        <f>'calculo ISR Febrero'!#REF!</f>
        <v>#REF!</v>
      </c>
      <c r="Q11" s="31" t="e">
        <f>'calculo ISR Febrero'!#REF!</f>
        <v>#REF!</v>
      </c>
      <c r="R11" s="31">
        <v>0</v>
      </c>
      <c r="S11" s="31" t="e">
        <f t="shared" si="2"/>
        <v>#REF!</v>
      </c>
      <c r="T11" s="31"/>
      <c r="U11" s="31" t="e">
        <f t="shared" si="3"/>
        <v>#REF!</v>
      </c>
      <c r="V11" s="31" t="e">
        <f t="shared" si="4"/>
        <v>#REF!</v>
      </c>
      <c r="W11" s="31"/>
      <c r="X11" s="31" t="e">
        <f t="shared" si="5"/>
        <v>#REF!</v>
      </c>
      <c r="Y11" s="106">
        <v>2753982734</v>
      </c>
      <c r="Z11" s="40"/>
      <c r="AA11" s="57"/>
      <c r="AB11" s="25"/>
      <c r="AC11" s="25"/>
      <c r="AD11" s="25"/>
      <c r="AE11" s="25"/>
    </row>
    <row r="12" spans="1:31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15</v>
      </c>
      <c r="J12" s="38" t="e">
        <f t="shared" si="6"/>
        <v>#REF!</v>
      </c>
      <c r="K12" s="38" t="e">
        <f t="shared" si="7"/>
        <v>#REF!</v>
      </c>
      <c r="L12" s="38" t="e">
        <f t="shared" si="8"/>
        <v>#REF!</v>
      </c>
      <c r="M12" s="38" t="e">
        <f t="shared" si="0"/>
        <v>#REF!</v>
      </c>
      <c r="N12" s="38">
        <v>10</v>
      </c>
      <c r="O12" s="109" t="e">
        <f t="shared" si="1"/>
        <v>#REF!</v>
      </c>
      <c r="P12" s="31" t="e">
        <f>'calculo ISR Febrero'!O38</f>
        <v>#REF!</v>
      </c>
      <c r="Q12" s="31" t="e">
        <f>'calculo ISR Febrero'!P38</f>
        <v>#REF!</v>
      </c>
      <c r="R12" s="31">
        <v>0</v>
      </c>
      <c r="S12" s="31" t="e">
        <f t="shared" si="2"/>
        <v>#REF!</v>
      </c>
      <c r="T12" s="31"/>
      <c r="U12" s="31" t="e">
        <f t="shared" si="3"/>
        <v>#REF!</v>
      </c>
      <c r="V12" s="31" t="e">
        <f t="shared" si="4"/>
        <v>#REF!</v>
      </c>
      <c r="W12" s="31"/>
      <c r="X12" s="31" t="e">
        <f>V12-W12</f>
        <v>#REF!</v>
      </c>
      <c r="Y12" s="106">
        <v>2758909075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85.12</v>
      </c>
      <c r="H13" s="31" t="e">
        <f>#REF!</f>
        <v>#REF!</v>
      </c>
      <c r="I13" s="55">
        <v>15</v>
      </c>
      <c r="J13" s="38">
        <f t="shared" si="6"/>
        <v>1276.8000000000002</v>
      </c>
      <c r="K13" s="38">
        <f t="shared" si="7"/>
        <v>127.68000000000002</v>
      </c>
      <c r="L13" s="38">
        <f t="shared" si="8"/>
        <v>127.68000000000002</v>
      </c>
      <c r="M13" s="38">
        <f t="shared" si="0"/>
        <v>191.52</v>
      </c>
      <c r="N13" s="38">
        <v>10</v>
      </c>
      <c r="O13" s="109">
        <f t="shared" si="1"/>
        <v>1733.6800000000003</v>
      </c>
      <c r="P13" s="31" t="e">
        <f>'calculo ISR Febrero'!O39</f>
        <v>#REF!</v>
      </c>
      <c r="Q13" s="31" t="e">
        <f>'calculo ISR Febrero'!P39</f>
        <v>#REF!</v>
      </c>
      <c r="R13" s="31">
        <v>0</v>
      </c>
      <c r="S13" s="31" t="e">
        <f t="shared" si="2"/>
        <v>#REF!</v>
      </c>
      <c r="T13" s="31"/>
      <c r="U13" s="31" t="e">
        <f t="shared" si="3"/>
        <v>#REF!</v>
      </c>
      <c r="V13" s="31" t="e">
        <f t="shared" si="4"/>
        <v>#REF!</v>
      </c>
      <c r="W13" s="31"/>
      <c r="X13" s="31" t="e">
        <f>V13-W13</f>
        <v>#REF!</v>
      </c>
      <c r="Y13" s="103">
        <v>2783684466</v>
      </c>
      <c r="Z13" s="40"/>
      <c r="AA13" s="25"/>
      <c r="AB13" s="25"/>
      <c r="AC13" s="25"/>
      <c r="AD13" s="25"/>
      <c r="AE13" s="25"/>
    </row>
    <row r="14" spans="1:31" ht="15">
      <c r="A14" s="32" t="s">
        <v>57</v>
      </c>
      <c r="B14" s="28" t="s">
        <v>87</v>
      </c>
      <c r="C14" s="29">
        <v>71098933956</v>
      </c>
      <c r="D14" s="30" t="s">
        <v>59</v>
      </c>
      <c r="E14" s="36" t="s">
        <v>85</v>
      </c>
      <c r="F14" s="36" t="s">
        <v>86</v>
      </c>
      <c r="G14" s="31">
        <v>85.12</v>
      </c>
      <c r="H14" s="31" t="e">
        <f>#REF!</f>
        <v>#REF!</v>
      </c>
      <c r="I14" s="55">
        <v>15</v>
      </c>
      <c r="J14" s="38">
        <f t="shared" si="6"/>
        <v>1276.8000000000002</v>
      </c>
      <c r="K14" s="38">
        <f t="shared" si="7"/>
        <v>127.68000000000002</v>
      </c>
      <c r="L14" s="38">
        <f t="shared" si="8"/>
        <v>127.68000000000002</v>
      </c>
      <c r="M14" s="38">
        <f t="shared" si="0"/>
        <v>191.52</v>
      </c>
      <c r="N14" s="38">
        <v>10</v>
      </c>
      <c r="O14" s="109">
        <f t="shared" si="1"/>
        <v>1733.6800000000003</v>
      </c>
      <c r="P14" s="31" t="e">
        <f>'calculo ISR Febrero'!O40</f>
        <v>#REF!</v>
      </c>
      <c r="Q14" s="31" t="e">
        <f>'calculo ISR Febrero'!P40</f>
        <v>#REF!</v>
      </c>
      <c r="R14" s="31">
        <v>0</v>
      </c>
      <c r="S14" s="31" t="e">
        <f t="shared" si="2"/>
        <v>#REF!</v>
      </c>
      <c r="T14" s="31"/>
      <c r="U14" s="31" t="e">
        <f t="shared" si="3"/>
        <v>#REF!</v>
      </c>
      <c r="V14" s="31" t="e">
        <f t="shared" si="4"/>
        <v>#REF!</v>
      </c>
      <c r="W14" s="31"/>
      <c r="X14" s="31" t="e">
        <f t="shared" si="5"/>
        <v>#REF!</v>
      </c>
      <c r="Y14" s="106">
        <v>2710232416</v>
      </c>
      <c r="Z14" s="40"/>
      <c r="AA14" s="25"/>
      <c r="AB14" s="25"/>
      <c r="AC14" s="25"/>
      <c r="AD14" s="25"/>
      <c r="AE14" s="25"/>
    </row>
    <row r="15" spans="1:25" ht="15">
      <c r="A15" s="27"/>
      <c r="B15" s="25"/>
      <c r="C15" s="25"/>
      <c r="D15" s="25"/>
      <c r="E15" s="37"/>
      <c r="F15" s="37"/>
      <c r="G15" s="25"/>
      <c r="H15" s="49"/>
      <c r="I15" s="117"/>
      <c r="J15" s="41" t="e">
        <f aca="true" t="shared" si="9" ref="J15:X15">SUM(J7:J14)</f>
        <v>#REF!</v>
      </c>
      <c r="K15" s="41" t="e">
        <f t="shared" si="9"/>
        <v>#REF!</v>
      </c>
      <c r="L15" s="41" t="e">
        <f t="shared" si="9"/>
        <v>#REF!</v>
      </c>
      <c r="M15" s="41" t="e">
        <f t="shared" si="9"/>
        <v>#REF!</v>
      </c>
      <c r="N15" s="41">
        <f t="shared" si="9"/>
        <v>80</v>
      </c>
      <c r="O15" s="41" t="e">
        <f t="shared" si="9"/>
        <v>#REF!</v>
      </c>
      <c r="P15" s="41" t="e">
        <f t="shared" si="9"/>
        <v>#REF!</v>
      </c>
      <c r="Q15" s="41" t="e">
        <f t="shared" si="9"/>
        <v>#REF!</v>
      </c>
      <c r="R15" s="41">
        <f t="shared" si="9"/>
        <v>0</v>
      </c>
      <c r="S15" s="41" t="e">
        <f t="shared" si="9"/>
        <v>#REF!</v>
      </c>
      <c r="T15" s="41">
        <f t="shared" si="9"/>
        <v>0</v>
      </c>
      <c r="U15" s="41" t="e">
        <f t="shared" si="9"/>
        <v>#REF!</v>
      </c>
      <c r="V15" s="41" t="e">
        <f t="shared" si="9"/>
        <v>#REF!</v>
      </c>
      <c r="W15" s="41">
        <f>SUM(W7:W14)</f>
        <v>0</v>
      </c>
      <c r="X15" s="41" t="e">
        <f t="shared" si="9"/>
        <v>#REF!</v>
      </c>
      <c r="Y15" s="25"/>
    </row>
    <row r="16" spans="9:23" ht="25.5" customHeight="1">
      <c r="I16" s="117"/>
      <c r="W16" s="62"/>
    </row>
    <row r="17" spans="3:24" ht="15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4"/>
      <c r="N17" s="341" t="s">
        <v>50</v>
      </c>
      <c r="O17" s="33"/>
      <c r="P17" s="341" t="s">
        <v>51</v>
      </c>
      <c r="W17" s="62" t="s">
        <v>97</v>
      </c>
      <c r="X17" s="40"/>
    </row>
    <row r="18" spans="3:23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4" t="s">
        <v>49</v>
      </c>
      <c r="N18" s="342"/>
      <c r="O18" s="33"/>
      <c r="P18" s="342"/>
      <c r="U18" s="40"/>
      <c r="W18" s="62"/>
    </row>
    <row r="19" spans="2:24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M15</f>
        <v>#REF!</v>
      </c>
      <c r="G19" s="46">
        <f>N15</f>
        <v>80</v>
      </c>
      <c r="H19" s="43" t="e">
        <f aca="true" t="shared" si="10" ref="H19:N19">O15</f>
        <v>#REF!</v>
      </c>
      <c r="I19" s="43" t="e">
        <f t="shared" si="10"/>
        <v>#REF!</v>
      </c>
      <c r="J19" s="43" t="e">
        <f t="shared" si="10"/>
        <v>#REF!</v>
      </c>
      <c r="K19" s="43">
        <f t="shared" si="10"/>
        <v>0</v>
      </c>
      <c r="L19" s="43" t="e">
        <f t="shared" si="10"/>
        <v>#REF!</v>
      </c>
      <c r="M19" s="43">
        <f t="shared" si="10"/>
        <v>0</v>
      </c>
      <c r="N19" s="43" t="e">
        <f t="shared" si="10"/>
        <v>#REF!</v>
      </c>
      <c r="O19" s="43"/>
      <c r="P19" s="43" t="e">
        <f>V15</f>
        <v>#REF!</v>
      </c>
      <c r="V19" s="40"/>
      <c r="W19" s="40"/>
      <c r="X19" s="40"/>
    </row>
    <row r="20" spans="3:21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  <c r="U20" s="40"/>
    </row>
    <row r="21" spans="3:24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  <c r="U21" s="48"/>
      <c r="V21" s="40"/>
      <c r="W21" s="40"/>
      <c r="X21" s="40"/>
    </row>
    <row r="22" spans="3:16" ht="15">
      <c r="C22" s="40"/>
      <c r="D22" s="40"/>
      <c r="E22" s="40"/>
      <c r="F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3:16" ht="15">
      <c r="C23" s="40" t="e">
        <f>SUM(C19:C22)</f>
        <v>#REF!</v>
      </c>
      <c r="D23" s="40" t="e">
        <f>SUM(D19:D22)</f>
        <v>#REF!</v>
      </c>
      <c r="E23" s="40" t="e">
        <f>SUM(E19:E22)</f>
        <v>#REF!</v>
      </c>
      <c r="F23" s="40" t="e">
        <f>SUM(F19:F22)</f>
        <v>#REF!</v>
      </c>
      <c r="H23" s="40" t="e">
        <f aca="true" t="shared" si="11" ref="H23:N23">SUM(H19:H22)</f>
        <v>#REF!</v>
      </c>
      <c r="I23" s="40" t="e">
        <f t="shared" si="11"/>
        <v>#REF!</v>
      </c>
      <c r="J23" s="40" t="e">
        <f t="shared" si="11"/>
        <v>#REF!</v>
      </c>
      <c r="K23" s="40">
        <f t="shared" si="11"/>
        <v>0</v>
      </c>
      <c r="L23" s="40" t="e">
        <f t="shared" si="11"/>
        <v>#REF!</v>
      </c>
      <c r="M23" s="40">
        <f t="shared" si="11"/>
        <v>0</v>
      </c>
      <c r="N23" s="40" t="e">
        <f t="shared" si="11"/>
        <v>#REF!</v>
      </c>
      <c r="O23" s="40"/>
      <c r="P23" s="40"/>
    </row>
    <row r="24" spans="3:24" ht="1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V24" s="40"/>
      <c r="W24" s="40"/>
      <c r="X24" s="40"/>
    </row>
    <row r="25" spans="7:24" ht="15">
      <c r="G25" s="344" t="s">
        <v>141</v>
      </c>
      <c r="H25" s="345"/>
      <c r="I25" s="61" t="s">
        <v>57</v>
      </c>
      <c r="J25" s="61" t="s">
        <v>8</v>
      </c>
      <c r="V25" s="40"/>
      <c r="W25" s="40"/>
      <c r="X25" s="40"/>
    </row>
    <row r="26" spans="7:25" ht="15">
      <c r="G26" s="335" t="s">
        <v>53</v>
      </c>
      <c r="H26" s="335"/>
      <c r="I26" s="40" t="e">
        <f>H19+K19-L19</f>
        <v>#REF!</v>
      </c>
      <c r="J26" s="40" t="e">
        <f>H23+K23-L23</f>
        <v>#REF!</v>
      </c>
      <c r="K26" s="40"/>
      <c r="L26" s="40"/>
      <c r="Y26" s="40"/>
    </row>
    <row r="27" spans="7:12" ht="15">
      <c r="G27" s="335" t="s">
        <v>54</v>
      </c>
      <c r="H27" s="335"/>
      <c r="I27" s="40" t="e">
        <f>I26*0.06</f>
        <v>#REF!</v>
      </c>
      <c r="J27" s="40" t="e">
        <f>J26*0.06</f>
        <v>#REF!</v>
      </c>
      <c r="K27" s="40"/>
      <c r="L27" s="40"/>
    </row>
    <row r="28" spans="7:17" ht="15">
      <c r="G28" s="335" t="s">
        <v>55</v>
      </c>
      <c r="H28" s="335"/>
      <c r="I28" s="40" t="e">
        <f>H19*0.02</f>
        <v>#REF!</v>
      </c>
      <c r="J28" s="40" t="e">
        <f>H23*0.02</f>
        <v>#REF!</v>
      </c>
      <c r="K28" s="40"/>
      <c r="L28" s="40"/>
      <c r="Q28" s="48"/>
    </row>
    <row r="29" spans="7:12" ht="15.75" thickBot="1">
      <c r="G29" s="335" t="s">
        <v>36</v>
      </c>
      <c r="H29" s="335"/>
      <c r="I29" s="44">
        <f>'COP TUXTLA'!S85</f>
        <v>25169.65620299588</v>
      </c>
      <c r="J29" s="44">
        <f>I29</f>
        <v>25169.65620299588</v>
      </c>
      <c r="K29" s="43"/>
      <c r="L29" s="43"/>
    </row>
    <row r="30" spans="7:12" ht="15">
      <c r="G30" s="335" t="s">
        <v>30</v>
      </c>
      <c r="H30" s="335"/>
      <c r="I30" s="40" t="e">
        <f>SUM(I26:I29)</f>
        <v>#REF!</v>
      </c>
      <c r="J30" s="40" t="e">
        <f>SUM(J26:J29)</f>
        <v>#REF!</v>
      </c>
      <c r="K30" s="54"/>
      <c r="L30" s="54"/>
    </row>
    <row r="31" spans="7:12" ht="15.75" thickBot="1">
      <c r="G31" s="335" t="s">
        <v>62</v>
      </c>
      <c r="H31" s="335"/>
      <c r="I31" s="42" t="e">
        <f>I30*0.16</f>
        <v>#REF!</v>
      </c>
      <c r="J31" s="42" t="e">
        <f>J30*0.16</f>
        <v>#REF!</v>
      </c>
      <c r="K31" s="54"/>
      <c r="L31" s="54"/>
    </row>
    <row r="32" spans="7:12" ht="15">
      <c r="G32" s="335" t="s">
        <v>8</v>
      </c>
      <c r="H32" s="335"/>
      <c r="I32" s="40" t="e">
        <f>I30+I31</f>
        <v>#REF!</v>
      </c>
      <c r="J32" s="40" t="e">
        <f>J30+J31</f>
        <v>#REF!</v>
      </c>
      <c r="K32" s="54"/>
      <c r="L32" s="54"/>
    </row>
    <row r="33" ht="15">
      <c r="J33" s="40"/>
    </row>
    <row r="34" ht="15">
      <c r="J34" s="40" t="e">
        <f>J32+J33</f>
        <v>#REF!</v>
      </c>
    </row>
    <row r="36" spans="7:11" ht="15">
      <c r="G36" s="52"/>
      <c r="H36" s="53"/>
      <c r="I36" s="53"/>
      <c r="J36" s="53"/>
      <c r="K36" s="53"/>
    </row>
    <row r="38" ht="15">
      <c r="M38" s="40"/>
    </row>
    <row r="39" ht="15">
      <c r="M39" s="40"/>
    </row>
    <row r="40" ht="15">
      <c r="M40" s="40"/>
    </row>
  </sheetData>
  <sheetProtection/>
  <mergeCells count="31">
    <mergeCell ref="A2:I2"/>
    <mergeCell ref="A3:I3"/>
    <mergeCell ref="A4:A5"/>
    <mergeCell ref="B4:B5"/>
    <mergeCell ref="C4:C5"/>
    <mergeCell ref="D4:D5"/>
    <mergeCell ref="G4:G5"/>
    <mergeCell ref="W4:X4"/>
    <mergeCell ref="A6:B6"/>
    <mergeCell ref="P4:T4"/>
    <mergeCell ref="U4:U5"/>
    <mergeCell ref="V4:V5"/>
    <mergeCell ref="C17:G17"/>
    <mergeCell ref="H17:H18"/>
    <mergeCell ref="I17:M17"/>
    <mergeCell ref="I4:I5"/>
    <mergeCell ref="P17:P18"/>
    <mergeCell ref="J4:N4"/>
    <mergeCell ref="O4:O5"/>
    <mergeCell ref="E4:E5"/>
    <mergeCell ref="F4:F5"/>
    <mergeCell ref="H4:H5"/>
    <mergeCell ref="G30:H30"/>
    <mergeCell ref="G25:H25"/>
    <mergeCell ref="G32:H32"/>
    <mergeCell ref="G26:H26"/>
    <mergeCell ref="G27:H27"/>
    <mergeCell ref="G28:H28"/>
    <mergeCell ref="G29:H29"/>
    <mergeCell ref="N17:N18"/>
    <mergeCell ref="G31:H31"/>
  </mergeCells>
  <printOptions/>
  <pageMargins left="0.7480314960629921" right="0.7480314960629921" top="0.984251968503937" bottom="0.984251968503937" header="0" footer="0"/>
  <pageSetup horizontalDpi="120" verticalDpi="120" orientation="landscape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2:AE40"/>
  <sheetViews>
    <sheetView view="pageBreakPreview" zoomScale="60" zoomScalePageLayoutView="0" workbookViewId="0" topLeftCell="A1">
      <pane xSplit="2" topLeftCell="C1" activePane="topRight" state="frozen"/>
      <selection pane="topLeft" activeCell="A4" sqref="A4"/>
      <selection pane="topRight" activeCell="T18" sqref="T18"/>
    </sheetView>
  </sheetViews>
  <sheetFormatPr defaultColWidth="11.421875" defaultRowHeight="15"/>
  <cols>
    <col min="1" max="1" width="7.57421875" style="114" customWidth="1"/>
    <col min="2" max="2" width="38.57421875" style="0" customWidth="1"/>
    <col min="3" max="3" width="16.57421875" style="0" customWidth="1"/>
    <col min="4" max="4" width="13.00390625" style="0" customWidth="1"/>
    <col min="5" max="5" width="15.00390625" style="0" customWidth="1"/>
    <col min="6" max="6" width="23.7109375" style="113" customWidth="1"/>
    <col min="7" max="7" width="13.00390625" style="113" customWidth="1"/>
    <col min="8" max="8" width="13.00390625" style="0" customWidth="1"/>
    <col min="9" max="9" width="15.57421875" style="0" customWidth="1"/>
    <col min="10" max="10" width="14.7109375" style="0" customWidth="1"/>
    <col min="11" max="11" width="14.421875" style="0" customWidth="1"/>
    <col min="12" max="12" width="14.8515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139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16</v>
      </c>
      <c r="J7" s="38" t="e">
        <f>G7*I7</f>
        <v>#REF!</v>
      </c>
      <c r="K7" s="38" t="e">
        <f>J7*0.1</f>
        <v>#REF!</v>
      </c>
      <c r="L7" s="38" t="e">
        <f>J7*0.1</f>
        <v>#REF!</v>
      </c>
      <c r="M7" s="38" t="e">
        <f>J7*0.15</f>
        <v>#REF!</v>
      </c>
      <c r="N7" s="38">
        <v>248</v>
      </c>
      <c r="O7" s="109" t="e">
        <f>SUM(J7:N7)</f>
        <v>#REF!</v>
      </c>
      <c r="P7" s="31" t="e">
        <f>'calculo ISR OCT'!N47-'calculo ISR OCT'!N34</f>
        <v>#REF!</v>
      </c>
      <c r="Q7" s="31" t="e">
        <f>'calculo ISR OCT'!O47-'calculo ISR OCT'!O34</f>
        <v>#REF!</v>
      </c>
      <c r="R7" s="31">
        <v>0</v>
      </c>
      <c r="S7" s="31" t="e">
        <f>P7-Q7</f>
        <v>#REF!</v>
      </c>
      <c r="T7" s="31"/>
      <c r="U7" s="31" t="e">
        <f>R7+S7+T7</f>
        <v>#REF!</v>
      </c>
      <c r="V7" s="95" t="e">
        <f>O7-U7</f>
        <v>#REF!</v>
      </c>
      <c r="W7" s="31"/>
      <c r="X7" s="31" t="e">
        <f>V7-W7</f>
        <v>#REF!</v>
      </c>
      <c r="Y7" s="104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16</v>
      </c>
      <c r="J8" s="38" t="e">
        <f>G8*I8</f>
        <v>#REF!</v>
      </c>
      <c r="K8" s="38" t="e">
        <f>J8*0.1</f>
        <v>#REF!</v>
      </c>
      <c r="L8" s="38" t="e">
        <f>J8*0.1</f>
        <v>#REF!</v>
      </c>
      <c r="M8" s="38" t="e">
        <f>J8*0.15</f>
        <v>#REF!</v>
      </c>
      <c r="N8" s="38">
        <v>248</v>
      </c>
      <c r="O8" s="109" t="e">
        <f aca="true" t="shared" si="0" ref="O8:O14">SUM(J8:N8)</f>
        <v>#REF!</v>
      </c>
      <c r="P8" s="31" t="e">
        <f>'calculo ISR OCT'!N48-'calculo ISR OCT'!N35</f>
        <v>#REF!</v>
      </c>
      <c r="Q8" s="31" t="e">
        <f>'calculo ISR OCT'!O48-'calculo ISR OCT'!O35</f>
        <v>#REF!</v>
      </c>
      <c r="R8" s="31">
        <v>0</v>
      </c>
      <c r="S8" s="31" t="e">
        <f aca="true" t="shared" si="1" ref="S8:S14">P8-Q8</f>
        <v>#REF!</v>
      </c>
      <c r="T8" s="31"/>
      <c r="U8" s="31" t="e">
        <f aca="true" t="shared" si="2" ref="U8:U14">R8+S8+T8</f>
        <v>#REF!</v>
      </c>
      <c r="V8" s="95" t="e">
        <f aca="true" t="shared" si="3" ref="V8:V14">O8-U8</f>
        <v>#REF!</v>
      </c>
      <c r="W8" s="31"/>
      <c r="X8" s="31" t="e">
        <f aca="true" t="shared" si="4" ref="X8:X14">V8-W8</f>
        <v>#REF!</v>
      </c>
      <c r="Y8" s="104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16</v>
      </c>
      <c r="J9" s="38" t="e">
        <f aca="true" t="shared" si="5" ref="J9:J14">G9*I9</f>
        <v>#REF!</v>
      </c>
      <c r="K9" s="38" t="e">
        <f>J9*0.075</f>
        <v>#REF!</v>
      </c>
      <c r="L9" s="38" t="e">
        <f aca="true" t="shared" si="6" ref="L9:L14">J9*0.1</f>
        <v>#REF!</v>
      </c>
      <c r="M9" s="38" t="e">
        <f aca="true" t="shared" si="7" ref="M9:M14">J9*0.15</f>
        <v>#REF!</v>
      </c>
      <c r="N9" s="38">
        <v>248</v>
      </c>
      <c r="O9" s="109" t="e">
        <f t="shared" si="0"/>
        <v>#REF!</v>
      </c>
      <c r="P9" s="31" t="e">
        <f>'calculo ISR OCT'!N49-'calculo ISR OCT'!N36</f>
        <v>#REF!</v>
      </c>
      <c r="Q9" s="31" t="e">
        <f>'calculo ISR OCT'!O49-'calculo ISR OCT'!O36</f>
        <v>#REF!</v>
      </c>
      <c r="R9" s="31">
        <v>0</v>
      </c>
      <c r="S9" s="31" t="e">
        <f t="shared" si="1"/>
        <v>#REF!</v>
      </c>
      <c r="T9" s="31"/>
      <c r="U9" s="31" t="e">
        <f t="shared" si="2"/>
        <v>#REF!</v>
      </c>
      <c r="V9" s="95" t="e">
        <f t="shared" si="3"/>
        <v>#REF!</v>
      </c>
      <c r="W9" s="31"/>
      <c r="X9" s="31" t="e">
        <f t="shared" si="4"/>
        <v>#REF!</v>
      </c>
      <c r="Y9" s="104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16</v>
      </c>
      <c r="J10" s="38" t="e">
        <f t="shared" si="5"/>
        <v>#REF!</v>
      </c>
      <c r="K10" s="38" t="e">
        <f>J10*0.1</f>
        <v>#REF!</v>
      </c>
      <c r="L10" s="38" t="e">
        <f t="shared" si="6"/>
        <v>#REF!</v>
      </c>
      <c r="M10" s="38" t="e">
        <f t="shared" si="7"/>
        <v>#REF!</v>
      </c>
      <c r="N10" s="38">
        <v>248</v>
      </c>
      <c r="O10" s="109" t="e">
        <f t="shared" si="0"/>
        <v>#REF!</v>
      </c>
      <c r="P10" s="31" t="e">
        <f>'calculo ISR OCT'!N50-'calculo ISR OCT'!N37</f>
        <v>#REF!</v>
      </c>
      <c r="Q10" s="31" t="e">
        <f>'calculo ISR OCT'!O50-'calculo ISR OCT'!O37</f>
        <v>#REF!</v>
      </c>
      <c r="R10" s="31">
        <v>0</v>
      </c>
      <c r="S10" s="31" t="e">
        <f t="shared" si="1"/>
        <v>#REF!</v>
      </c>
      <c r="T10" s="31"/>
      <c r="U10" s="31" t="e">
        <f t="shared" si="2"/>
        <v>#REF!</v>
      </c>
      <c r="V10" s="95" t="e">
        <f t="shared" si="3"/>
        <v>#REF!</v>
      </c>
      <c r="W10" s="31"/>
      <c r="X10" s="31" t="e">
        <f>V10-W10</f>
        <v>#REF!</v>
      </c>
      <c r="Y10" s="105">
        <v>2714169867</v>
      </c>
      <c r="Z10" s="40"/>
      <c r="AA10" s="56"/>
      <c r="AB10" s="25"/>
      <c r="AC10" s="25"/>
      <c r="AD10" s="25"/>
      <c r="AE10" s="25"/>
    </row>
    <row r="11" spans="1:31" ht="1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16</v>
      </c>
      <c r="J11" s="38" t="e">
        <f t="shared" si="5"/>
        <v>#REF!</v>
      </c>
      <c r="K11" s="38" t="e">
        <f>J11*0.075</f>
        <v>#REF!</v>
      </c>
      <c r="L11" s="38" t="e">
        <f t="shared" si="6"/>
        <v>#REF!</v>
      </c>
      <c r="M11" s="38" t="e">
        <f t="shared" si="7"/>
        <v>#REF!</v>
      </c>
      <c r="N11" s="38">
        <v>244</v>
      </c>
      <c r="O11" s="109" t="e">
        <f t="shared" si="0"/>
        <v>#REF!</v>
      </c>
      <c r="P11" s="31" t="e">
        <f>'calculo ISR OCT'!N51-'calculo ISR OCT'!N38</f>
        <v>#REF!</v>
      </c>
      <c r="Q11" s="31" t="e">
        <f>'calculo ISR OCT'!O51-'calculo ISR OCT'!O38</f>
        <v>#REF!</v>
      </c>
      <c r="R11" s="31">
        <v>0</v>
      </c>
      <c r="S11" s="31" t="e">
        <f t="shared" si="1"/>
        <v>#REF!</v>
      </c>
      <c r="T11" s="31"/>
      <c r="U11" s="31" t="e">
        <f t="shared" si="2"/>
        <v>#REF!</v>
      </c>
      <c r="V11" s="95" t="e">
        <f t="shared" si="3"/>
        <v>#REF!</v>
      </c>
      <c r="W11" s="31"/>
      <c r="X11" s="31" t="e">
        <f t="shared" si="4"/>
        <v>#REF!</v>
      </c>
      <c r="Y11" s="106">
        <v>2753982734</v>
      </c>
      <c r="Z11" s="40"/>
      <c r="AA11" s="57"/>
      <c r="AB11" s="25"/>
      <c r="AC11" s="25"/>
      <c r="AD11" s="25"/>
      <c r="AE11" s="25"/>
    </row>
    <row r="12" spans="1:31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16</v>
      </c>
      <c r="J12" s="38" t="e">
        <f t="shared" si="5"/>
        <v>#REF!</v>
      </c>
      <c r="K12" s="38">
        <v>0</v>
      </c>
      <c r="L12" s="38" t="e">
        <f t="shared" si="6"/>
        <v>#REF!</v>
      </c>
      <c r="M12" s="38" t="e">
        <f t="shared" si="7"/>
        <v>#REF!</v>
      </c>
      <c r="N12" s="38">
        <v>244</v>
      </c>
      <c r="O12" s="109" t="e">
        <f t="shared" si="0"/>
        <v>#REF!</v>
      </c>
      <c r="P12" s="31" t="e">
        <f>'calculo ISR OCT'!N52-'calculo ISR OCT'!N39</f>
        <v>#REF!</v>
      </c>
      <c r="Q12" s="31" t="e">
        <f>'calculo ISR OCT'!O52-'calculo ISR OCT'!O39</f>
        <v>#REF!</v>
      </c>
      <c r="R12" s="31">
        <v>0</v>
      </c>
      <c r="S12" s="31" t="e">
        <f t="shared" si="1"/>
        <v>#REF!</v>
      </c>
      <c r="T12" s="31"/>
      <c r="U12" s="31" t="e">
        <f t="shared" si="2"/>
        <v>#REF!</v>
      </c>
      <c r="V12" s="95" t="e">
        <f t="shared" si="3"/>
        <v>#REF!</v>
      </c>
      <c r="W12" s="31"/>
      <c r="X12" s="31" t="e">
        <f>V12-W12</f>
        <v>#REF!</v>
      </c>
      <c r="Y12" s="106">
        <v>2758909075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85.12</v>
      </c>
      <c r="H13" s="31" t="e">
        <f>#REF!</f>
        <v>#REF!</v>
      </c>
      <c r="I13" s="55">
        <v>16</v>
      </c>
      <c r="J13" s="38">
        <f t="shared" si="5"/>
        <v>1361.92</v>
      </c>
      <c r="K13" s="38">
        <f>J13*0.1</f>
        <v>136.192</v>
      </c>
      <c r="L13" s="38">
        <f t="shared" si="6"/>
        <v>136.192</v>
      </c>
      <c r="M13" s="38">
        <f t="shared" si="7"/>
        <v>204.288</v>
      </c>
      <c r="N13" s="38">
        <v>248</v>
      </c>
      <c r="O13" s="109">
        <f t="shared" si="0"/>
        <v>2086.592</v>
      </c>
      <c r="P13" s="31">
        <f>'calculo ISR OCT'!N53-'calculo ISR OCT'!N40</f>
        <v>122.33060800000001</v>
      </c>
      <c r="Q13" s="31">
        <f>'calculo ISR OCT'!O53-'calculo ISR OCT'!O40</f>
        <v>181.76</v>
      </c>
      <c r="R13" s="31">
        <v>0</v>
      </c>
      <c r="S13" s="31">
        <f t="shared" si="1"/>
        <v>-59.42939199999998</v>
      </c>
      <c r="T13" s="31"/>
      <c r="U13" s="31">
        <f t="shared" si="2"/>
        <v>-59.42939199999998</v>
      </c>
      <c r="V13" s="95">
        <f t="shared" si="3"/>
        <v>2146.021392</v>
      </c>
      <c r="W13" s="31"/>
      <c r="X13" s="31">
        <f>V13-W13</f>
        <v>2146.021392</v>
      </c>
      <c r="Y13" s="103">
        <v>2783684466</v>
      </c>
      <c r="Z13" s="40"/>
      <c r="AA13" s="25"/>
      <c r="AB13" s="25"/>
      <c r="AC13" s="25"/>
      <c r="AD13" s="25"/>
      <c r="AE13" s="25"/>
    </row>
    <row r="14" spans="1:31" ht="15">
      <c r="A14" s="32" t="s">
        <v>57</v>
      </c>
      <c r="B14" s="28" t="s">
        <v>87</v>
      </c>
      <c r="C14" s="29">
        <v>71098933956</v>
      </c>
      <c r="D14" s="30" t="s">
        <v>59</v>
      </c>
      <c r="E14" s="36" t="s">
        <v>85</v>
      </c>
      <c r="F14" s="36" t="s">
        <v>86</v>
      </c>
      <c r="G14" s="31">
        <v>85.12</v>
      </c>
      <c r="H14" s="31" t="e">
        <f>#REF!</f>
        <v>#REF!</v>
      </c>
      <c r="I14" s="55">
        <v>16</v>
      </c>
      <c r="J14" s="38">
        <f t="shared" si="5"/>
        <v>1361.92</v>
      </c>
      <c r="K14" s="38">
        <f>J14*0.1</f>
        <v>136.192</v>
      </c>
      <c r="L14" s="38">
        <f t="shared" si="6"/>
        <v>136.192</v>
      </c>
      <c r="M14" s="38">
        <f t="shared" si="7"/>
        <v>204.288</v>
      </c>
      <c r="N14" s="38">
        <v>248</v>
      </c>
      <c r="O14" s="109">
        <f t="shared" si="0"/>
        <v>2086.592</v>
      </c>
      <c r="P14" s="31">
        <f>'calculo ISR OCT'!N54-'calculo ISR OCT'!N41</f>
        <v>122.33060800000001</v>
      </c>
      <c r="Q14" s="31">
        <f>'calculo ISR OCT'!O54-'calculo ISR OCT'!O41</f>
        <v>188.65999999999997</v>
      </c>
      <c r="R14" s="31">
        <v>0</v>
      </c>
      <c r="S14" s="31">
        <f t="shared" si="1"/>
        <v>-66.32939199999996</v>
      </c>
      <c r="T14" s="31"/>
      <c r="U14" s="31">
        <f t="shared" si="2"/>
        <v>-66.32939199999996</v>
      </c>
      <c r="V14" s="95">
        <f t="shared" si="3"/>
        <v>2152.921392</v>
      </c>
      <c r="W14" s="31"/>
      <c r="X14" s="31">
        <f t="shared" si="4"/>
        <v>2152.921392</v>
      </c>
      <c r="Y14" s="106">
        <v>2710232416</v>
      </c>
      <c r="Z14" s="40"/>
      <c r="AA14" s="25"/>
      <c r="AB14" s="25"/>
      <c r="AC14" s="25"/>
      <c r="AD14" s="25"/>
      <c r="AE14" s="25"/>
    </row>
    <row r="15" spans="1:25" ht="15">
      <c r="A15" s="27"/>
      <c r="B15" s="25"/>
      <c r="C15" s="25"/>
      <c r="D15" s="25"/>
      <c r="E15" s="37"/>
      <c r="F15" s="37"/>
      <c r="G15" s="25"/>
      <c r="H15" s="49"/>
      <c r="I15" s="114"/>
      <c r="J15" s="41" t="e">
        <f aca="true" t="shared" si="8" ref="J15:X15">SUM(J7:J14)</f>
        <v>#REF!</v>
      </c>
      <c r="K15" s="41" t="e">
        <f t="shared" si="8"/>
        <v>#REF!</v>
      </c>
      <c r="L15" s="41" t="e">
        <f t="shared" si="8"/>
        <v>#REF!</v>
      </c>
      <c r="M15" s="41" t="e">
        <f t="shared" si="8"/>
        <v>#REF!</v>
      </c>
      <c r="N15" s="41">
        <f t="shared" si="8"/>
        <v>1976</v>
      </c>
      <c r="O15" s="41" t="e">
        <f t="shared" si="8"/>
        <v>#REF!</v>
      </c>
      <c r="P15" s="41" t="e">
        <f t="shared" si="8"/>
        <v>#REF!</v>
      </c>
      <c r="Q15" s="41" t="e">
        <f t="shared" si="8"/>
        <v>#REF!</v>
      </c>
      <c r="R15" s="41">
        <f t="shared" si="8"/>
        <v>0</v>
      </c>
      <c r="S15" s="41" t="e">
        <f t="shared" si="8"/>
        <v>#REF!</v>
      </c>
      <c r="T15" s="41">
        <f t="shared" si="8"/>
        <v>0</v>
      </c>
      <c r="U15" s="41" t="e">
        <f t="shared" si="8"/>
        <v>#REF!</v>
      </c>
      <c r="V15" s="41" t="e">
        <f t="shared" si="8"/>
        <v>#REF!</v>
      </c>
      <c r="W15" s="41">
        <f>SUM(W7:W14)</f>
        <v>0</v>
      </c>
      <c r="X15" s="41" t="e">
        <f t="shared" si="8"/>
        <v>#REF!</v>
      </c>
      <c r="Y15" s="25"/>
    </row>
    <row r="16" spans="9:23" ht="25.5" customHeight="1">
      <c r="I16" s="114"/>
      <c r="W16" s="62"/>
    </row>
    <row r="17" spans="3:24" ht="15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4"/>
      <c r="N17" s="341" t="s">
        <v>50</v>
      </c>
      <c r="O17" s="33"/>
      <c r="P17" s="341" t="s">
        <v>51</v>
      </c>
      <c r="W17" s="62" t="s">
        <v>97</v>
      </c>
      <c r="X17" s="40"/>
    </row>
    <row r="18" spans="3:23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4" t="s">
        <v>49</v>
      </c>
      <c r="N18" s="342"/>
      <c r="O18" s="33"/>
      <c r="P18" s="342"/>
      <c r="U18" s="40"/>
      <c r="W18" s="62"/>
    </row>
    <row r="19" spans="2:24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M15</f>
        <v>#REF!</v>
      </c>
      <c r="G19" s="46">
        <f>N15</f>
        <v>1976</v>
      </c>
      <c r="H19" s="43" t="e">
        <f aca="true" t="shared" si="9" ref="H19:N19">O15</f>
        <v>#REF!</v>
      </c>
      <c r="I19" s="43" t="e">
        <f t="shared" si="9"/>
        <v>#REF!</v>
      </c>
      <c r="J19" s="43" t="e">
        <f t="shared" si="9"/>
        <v>#REF!</v>
      </c>
      <c r="K19" s="43">
        <f t="shared" si="9"/>
        <v>0</v>
      </c>
      <c r="L19" s="43" t="e">
        <f t="shared" si="9"/>
        <v>#REF!</v>
      </c>
      <c r="M19" s="43">
        <f t="shared" si="9"/>
        <v>0</v>
      </c>
      <c r="N19" s="43" t="e">
        <f t="shared" si="9"/>
        <v>#REF!</v>
      </c>
      <c r="O19" s="43"/>
      <c r="P19" s="43" t="e">
        <f>V15</f>
        <v>#REF!</v>
      </c>
      <c r="V19" s="40"/>
      <c r="W19" s="40"/>
      <c r="X19" s="40"/>
    </row>
    <row r="20" spans="3:21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  <c r="U20" s="40"/>
    </row>
    <row r="21" spans="3:24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  <c r="U21" s="48"/>
      <c r="V21" s="40"/>
      <c r="W21" s="40"/>
      <c r="X21" s="40"/>
    </row>
    <row r="22" spans="3:16" ht="15">
      <c r="C22" s="40"/>
      <c r="D22" s="40"/>
      <c r="E22" s="40"/>
      <c r="F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3:16" ht="15">
      <c r="C23" s="40" t="e">
        <f>SUM(C19:C22)</f>
        <v>#REF!</v>
      </c>
      <c r="D23" s="40" t="e">
        <f>SUM(D19:D22)</f>
        <v>#REF!</v>
      </c>
      <c r="E23" s="40" t="e">
        <f>SUM(E19:E22)</f>
        <v>#REF!</v>
      </c>
      <c r="F23" s="40" t="e">
        <f>SUM(F19:F22)</f>
        <v>#REF!</v>
      </c>
      <c r="H23" s="40" t="e">
        <f aca="true" t="shared" si="10" ref="H23:N23">SUM(H19:H22)</f>
        <v>#REF!</v>
      </c>
      <c r="I23" s="40" t="e">
        <f t="shared" si="10"/>
        <v>#REF!</v>
      </c>
      <c r="J23" s="40" t="e">
        <f t="shared" si="10"/>
        <v>#REF!</v>
      </c>
      <c r="K23" s="40">
        <f t="shared" si="10"/>
        <v>0</v>
      </c>
      <c r="L23" s="40" t="e">
        <f t="shared" si="10"/>
        <v>#REF!</v>
      </c>
      <c r="M23" s="40">
        <f t="shared" si="10"/>
        <v>0</v>
      </c>
      <c r="N23" s="40" t="e">
        <f t="shared" si="10"/>
        <v>#REF!</v>
      </c>
      <c r="O23" s="40"/>
      <c r="P23" s="40"/>
    </row>
    <row r="24" spans="3:24" ht="1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V24" s="40"/>
      <c r="W24" s="40"/>
      <c r="X24" s="40"/>
    </row>
    <row r="25" spans="9:24" ht="15">
      <c r="I25" s="61" t="s">
        <v>57</v>
      </c>
      <c r="J25" s="61" t="s">
        <v>8</v>
      </c>
      <c r="V25" s="40"/>
      <c r="W25" s="40"/>
      <c r="X25" s="40"/>
    </row>
    <row r="26" spans="7:25" ht="15">
      <c r="G26" s="335" t="s">
        <v>53</v>
      </c>
      <c r="H26" s="335"/>
      <c r="I26" s="40" t="e">
        <f>H19+K19-L19</f>
        <v>#REF!</v>
      </c>
      <c r="J26" s="40" t="e">
        <f>H23+K23-L23</f>
        <v>#REF!</v>
      </c>
      <c r="K26" s="40"/>
      <c r="L26" s="40"/>
      <c r="Y26" s="40"/>
    </row>
    <row r="27" spans="7:12" ht="15">
      <c r="G27" s="335" t="s">
        <v>54</v>
      </c>
      <c r="H27" s="335"/>
      <c r="I27" s="40" t="e">
        <f>I26*0.06</f>
        <v>#REF!</v>
      </c>
      <c r="J27" s="40" t="e">
        <f>J26*0.06</f>
        <v>#REF!</v>
      </c>
      <c r="K27" s="40"/>
      <c r="L27" s="40"/>
    </row>
    <row r="28" spans="7:17" ht="15">
      <c r="G28" s="335" t="s">
        <v>55</v>
      </c>
      <c r="H28" s="335"/>
      <c r="I28" s="40" t="e">
        <f>H19*0.02</f>
        <v>#REF!</v>
      </c>
      <c r="J28" s="40" t="e">
        <f>H23*0.02</f>
        <v>#REF!</v>
      </c>
      <c r="K28" s="40"/>
      <c r="L28" s="40"/>
      <c r="Q28" s="48"/>
    </row>
    <row r="29" spans="7:12" ht="15.75" thickBot="1">
      <c r="G29" s="335" t="s">
        <v>36</v>
      </c>
      <c r="H29" s="335"/>
      <c r="I29" s="44">
        <f>'COP TUXTLA'!S85</f>
        <v>25169.65620299588</v>
      </c>
      <c r="J29" s="44">
        <f>I29</f>
        <v>25169.65620299588</v>
      </c>
      <c r="K29" s="43"/>
      <c r="L29" s="43"/>
    </row>
    <row r="30" spans="7:12" ht="15">
      <c r="G30" s="335" t="s">
        <v>30</v>
      </c>
      <c r="H30" s="335"/>
      <c r="I30" s="40" t="e">
        <f>SUM(I26:I29)</f>
        <v>#REF!</v>
      </c>
      <c r="J30" s="40" t="e">
        <f>SUM(J26:J29)</f>
        <v>#REF!</v>
      </c>
      <c r="K30" s="54"/>
      <c r="L30" s="54"/>
    </row>
    <row r="31" spans="7:12" ht="15.75" thickBot="1">
      <c r="G31" s="335" t="s">
        <v>62</v>
      </c>
      <c r="H31" s="335"/>
      <c r="I31" s="42" t="e">
        <f>I30*0.16</f>
        <v>#REF!</v>
      </c>
      <c r="J31" s="42" t="e">
        <f>J30*0.16</f>
        <v>#REF!</v>
      </c>
      <c r="K31" s="54"/>
      <c r="L31" s="54"/>
    </row>
    <row r="32" spans="7:12" ht="15">
      <c r="G32" s="335" t="s">
        <v>8</v>
      </c>
      <c r="H32" s="335"/>
      <c r="I32" s="40" t="e">
        <f>I30+I31</f>
        <v>#REF!</v>
      </c>
      <c r="J32" s="40" t="e">
        <f>J30+J31</f>
        <v>#REF!</v>
      </c>
      <c r="K32" s="54"/>
      <c r="L32" s="54"/>
    </row>
    <row r="33" ht="15">
      <c r="J33" s="40"/>
    </row>
    <row r="34" ht="15">
      <c r="J34" s="40" t="e">
        <f>J32+J33</f>
        <v>#REF!</v>
      </c>
    </row>
    <row r="36" spans="7:11" ht="15">
      <c r="G36" s="52"/>
      <c r="H36" s="53"/>
      <c r="I36" s="53"/>
      <c r="J36" s="53"/>
      <c r="K36" s="53"/>
    </row>
    <row r="38" ht="15">
      <c r="M38" s="40"/>
    </row>
    <row r="39" ht="15">
      <c r="M39" s="40"/>
    </row>
    <row r="40" ht="15">
      <c r="M40" s="40"/>
    </row>
  </sheetData>
  <sheetProtection/>
  <mergeCells count="30">
    <mergeCell ref="P4:T4"/>
    <mergeCell ref="U4:U5"/>
    <mergeCell ref="V4:V5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W4:X4"/>
    <mergeCell ref="A6:B6"/>
    <mergeCell ref="C17:G17"/>
    <mergeCell ref="H17:H18"/>
    <mergeCell ref="I17:M17"/>
    <mergeCell ref="N17:N18"/>
    <mergeCell ref="P17:P18"/>
    <mergeCell ref="I4:I5"/>
    <mergeCell ref="J4:N4"/>
    <mergeCell ref="O4:O5"/>
    <mergeCell ref="G32:H32"/>
    <mergeCell ref="G26:H26"/>
    <mergeCell ref="G27:H27"/>
    <mergeCell ref="G28:H28"/>
    <mergeCell ref="G29:H29"/>
    <mergeCell ref="G30:H30"/>
    <mergeCell ref="G31:H31"/>
  </mergeCells>
  <printOptions/>
  <pageMargins left="0.7480314960629921" right="0.7480314960629921" top="0.984251968503937" bottom="0.984251968503937" header="0" footer="0"/>
  <pageSetup horizontalDpi="120" verticalDpi="120" orientation="landscape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38"/>
  <sheetViews>
    <sheetView zoomScale="130" zoomScaleNormal="130" zoomScalePageLayoutView="0" workbookViewId="0" topLeftCell="A64">
      <pane xSplit="2" topLeftCell="J1" activePane="topRight" state="frozen"/>
      <selection pane="topLeft" activeCell="A79" sqref="A79"/>
      <selection pane="topRight" activeCell="Q78" sqref="Q78"/>
    </sheetView>
  </sheetViews>
  <sheetFormatPr defaultColWidth="11.421875" defaultRowHeight="15"/>
  <cols>
    <col min="1" max="1" width="10.8515625" style="158" customWidth="1"/>
    <col min="2" max="2" width="12.00390625" style="263" customWidth="1"/>
    <col min="3" max="5" width="12.57421875" style="158" customWidth="1"/>
    <col min="6" max="6" width="14.7109375" style="158" bestFit="1" customWidth="1"/>
    <col min="7" max="7" width="11.421875" style="158" customWidth="1"/>
    <col min="8" max="8" width="15.00390625" style="158" bestFit="1" customWidth="1"/>
    <col min="9" max="9" width="14.28125" style="158" customWidth="1"/>
    <col min="10" max="19" width="11.421875" style="158" customWidth="1"/>
    <col min="20" max="23" width="11.421875" style="159" customWidth="1"/>
    <col min="24" max="16384" width="11.421875" style="158" customWidth="1"/>
  </cols>
  <sheetData>
    <row r="1" spans="2:9" ht="15">
      <c r="B1" s="263" t="s">
        <v>90</v>
      </c>
      <c r="I1" s="158" t="s">
        <v>123</v>
      </c>
    </row>
    <row r="2" spans="2:14" ht="15.75" thickBot="1">
      <c r="B2" s="263" t="s">
        <v>286</v>
      </c>
      <c r="D2" s="159"/>
      <c r="E2" s="159"/>
      <c r="I2" s="188" t="s">
        <v>284</v>
      </c>
      <c r="J2" s="189"/>
      <c r="K2" s="189"/>
      <c r="L2" s="161"/>
      <c r="M2" s="161"/>
      <c r="N2" s="161"/>
    </row>
    <row r="3" spans="2:14" ht="46.5" thickBot="1" thickTop="1">
      <c r="B3" s="162" t="s">
        <v>99</v>
      </c>
      <c r="C3" s="162" t="s">
        <v>100</v>
      </c>
      <c r="D3" s="162" t="s">
        <v>101</v>
      </c>
      <c r="E3" s="163" t="s">
        <v>102</v>
      </c>
      <c r="I3" s="190" t="s">
        <v>125</v>
      </c>
      <c r="J3" s="190" t="s">
        <v>126</v>
      </c>
      <c r="K3" s="190" t="s">
        <v>127</v>
      </c>
      <c r="L3" s="163" t="s">
        <v>102</v>
      </c>
      <c r="M3" s="161"/>
      <c r="N3" s="161"/>
    </row>
    <row r="4" spans="2:14" ht="15.75" thickTop="1">
      <c r="B4" s="289">
        <v>0.01</v>
      </c>
      <c r="C4" s="73">
        <v>644.58</v>
      </c>
      <c r="D4" s="73">
        <f>O4</f>
        <v>0</v>
      </c>
      <c r="E4" s="74">
        <v>0.0192</v>
      </c>
      <c r="I4" s="365">
        <v>0.01</v>
      </c>
      <c r="J4" s="365">
        <v>148.4</v>
      </c>
      <c r="K4" s="365">
        <v>0</v>
      </c>
      <c r="L4" s="74">
        <v>0.0192</v>
      </c>
      <c r="M4" s="161"/>
      <c r="N4" s="161"/>
    </row>
    <row r="5" spans="2:14" ht="15">
      <c r="B5" s="289">
        <v>644.59</v>
      </c>
      <c r="C5" s="73">
        <v>5470.92</v>
      </c>
      <c r="D5" s="73">
        <v>12.38</v>
      </c>
      <c r="E5" s="74">
        <v>0.064</v>
      </c>
      <c r="I5" s="365">
        <v>148.41</v>
      </c>
      <c r="J5" s="366">
        <v>1259.72</v>
      </c>
      <c r="K5" s="365">
        <v>2.87</v>
      </c>
      <c r="L5" s="74">
        <v>0.064</v>
      </c>
      <c r="M5" s="161"/>
      <c r="N5" s="161"/>
    </row>
    <row r="6" spans="2:14" ht="15">
      <c r="B6" s="289">
        <v>5470.93</v>
      </c>
      <c r="C6" s="73">
        <v>9614.66</v>
      </c>
      <c r="D6" s="73">
        <v>321.26</v>
      </c>
      <c r="E6" s="74">
        <v>0.1088</v>
      </c>
      <c r="I6" s="366">
        <v>1259.73</v>
      </c>
      <c r="J6" s="366">
        <v>2213.89</v>
      </c>
      <c r="K6" s="365">
        <v>73.99</v>
      </c>
      <c r="L6" s="74">
        <v>0.1088</v>
      </c>
      <c r="M6" s="161"/>
      <c r="N6" s="161"/>
    </row>
    <row r="7" spans="2:14" ht="15">
      <c r="B7" s="289">
        <v>9614.67</v>
      </c>
      <c r="C7" s="73">
        <v>11176.62</v>
      </c>
      <c r="D7" s="73">
        <v>772.1</v>
      </c>
      <c r="E7" s="74">
        <v>0.16</v>
      </c>
      <c r="I7" s="366">
        <v>2213.9</v>
      </c>
      <c r="J7" s="366">
        <v>2573.55</v>
      </c>
      <c r="K7" s="365">
        <v>177.8</v>
      </c>
      <c r="L7" s="74">
        <v>0.16</v>
      </c>
      <c r="M7" s="161"/>
      <c r="N7" s="161"/>
    </row>
    <row r="8" spans="2:14" ht="15">
      <c r="B8" s="289">
        <v>11176.63</v>
      </c>
      <c r="C8" s="73">
        <v>13381.47</v>
      </c>
      <c r="D8" s="73">
        <v>1022.01</v>
      </c>
      <c r="E8" s="74">
        <v>0.1792</v>
      </c>
      <c r="I8" s="366">
        <v>2573.56</v>
      </c>
      <c r="J8" s="366">
        <v>3081.26</v>
      </c>
      <c r="K8" s="365">
        <v>235.34</v>
      </c>
      <c r="L8" s="74">
        <v>0.1792</v>
      </c>
      <c r="M8" s="161"/>
      <c r="N8" s="161"/>
    </row>
    <row r="9" spans="2:14" ht="15">
      <c r="B9" s="289">
        <v>13381.48</v>
      </c>
      <c r="C9" s="73">
        <v>26988.5</v>
      </c>
      <c r="D9" s="73">
        <v>1417.12</v>
      </c>
      <c r="E9" s="74">
        <v>0.2136</v>
      </c>
      <c r="I9" s="366">
        <v>3081.27</v>
      </c>
      <c r="J9" s="366">
        <v>6214.46</v>
      </c>
      <c r="K9" s="365">
        <v>326.34</v>
      </c>
      <c r="L9" s="74">
        <v>0.2136</v>
      </c>
      <c r="M9" s="161"/>
      <c r="N9" s="161"/>
    </row>
    <row r="10" spans="2:14" ht="15">
      <c r="B10" s="289">
        <v>26988.51</v>
      </c>
      <c r="C10" s="73">
        <v>42537.58</v>
      </c>
      <c r="D10" s="73">
        <v>4323.58</v>
      </c>
      <c r="E10" s="74">
        <v>0.2352</v>
      </c>
      <c r="I10" s="366">
        <v>6214.47</v>
      </c>
      <c r="J10" s="366">
        <v>9794.82</v>
      </c>
      <c r="K10" s="365">
        <v>995.54</v>
      </c>
      <c r="L10" s="74">
        <v>0.2352</v>
      </c>
      <c r="M10" s="161"/>
      <c r="N10" s="161"/>
    </row>
    <row r="11" spans="2:14" ht="15">
      <c r="B11" s="289">
        <v>42537.59</v>
      </c>
      <c r="C11" s="73">
        <v>81244.25</v>
      </c>
      <c r="D11" s="73">
        <v>7980.73</v>
      </c>
      <c r="E11" s="74">
        <v>0.3</v>
      </c>
      <c r="I11" s="366">
        <v>9794.83</v>
      </c>
      <c r="J11" s="366">
        <v>18699.94</v>
      </c>
      <c r="K11" s="366">
        <v>1837.64</v>
      </c>
      <c r="L11" s="74">
        <v>0.3</v>
      </c>
      <c r="M11" s="161"/>
      <c r="N11" s="161"/>
    </row>
    <row r="12" spans="2:14" ht="15">
      <c r="B12" s="289">
        <v>81211.26</v>
      </c>
      <c r="C12" s="73">
        <v>108281.67</v>
      </c>
      <c r="D12" s="73">
        <v>19582.83</v>
      </c>
      <c r="E12" s="74">
        <v>0.32</v>
      </c>
      <c r="F12" s="165"/>
      <c r="G12" s="166"/>
      <c r="I12" s="366">
        <v>18699.95</v>
      </c>
      <c r="J12" s="366">
        <v>24933.3</v>
      </c>
      <c r="K12" s="366">
        <v>4509.19</v>
      </c>
      <c r="L12" s="74">
        <v>0.32</v>
      </c>
      <c r="M12" s="161"/>
      <c r="N12" s="161"/>
    </row>
    <row r="13" spans="2:14" ht="15">
      <c r="B13" s="289">
        <v>108281.68</v>
      </c>
      <c r="C13" s="73">
        <v>324845.01</v>
      </c>
      <c r="D13" s="73">
        <v>28245.36</v>
      </c>
      <c r="E13" s="74">
        <v>0.34</v>
      </c>
      <c r="F13" s="165"/>
      <c r="G13" s="166"/>
      <c r="I13" s="366">
        <v>24933.31</v>
      </c>
      <c r="J13" s="366">
        <v>74799.83</v>
      </c>
      <c r="K13" s="366">
        <v>6503.84</v>
      </c>
      <c r="L13" s="74">
        <v>0.34</v>
      </c>
      <c r="M13" s="161"/>
      <c r="N13" s="161"/>
    </row>
    <row r="14" spans="2:12" ht="15">
      <c r="B14" s="289">
        <v>324845.02</v>
      </c>
      <c r="C14" s="73" t="s">
        <v>176</v>
      </c>
      <c r="D14" s="73">
        <v>101876.9</v>
      </c>
      <c r="E14" s="74">
        <v>0.35</v>
      </c>
      <c r="F14" s="165"/>
      <c r="G14" s="166"/>
      <c r="I14" s="366">
        <v>74799.84</v>
      </c>
      <c r="J14" s="365" t="s">
        <v>103</v>
      </c>
      <c r="K14" s="366">
        <v>23458.47</v>
      </c>
      <c r="L14" s="74">
        <v>0.35</v>
      </c>
    </row>
    <row r="15" spans="3:13" ht="15" customHeight="1">
      <c r="C15" s="165"/>
      <c r="D15" s="165"/>
      <c r="E15" s="165"/>
      <c r="F15" s="165"/>
      <c r="G15" s="166"/>
      <c r="I15" s="160" t="s">
        <v>132</v>
      </c>
      <c r="J15" s="161"/>
      <c r="K15" s="161"/>
      <c r="L15" s="161"/>
      <c r="M15" s="161"/>
    </row>
    <row r="16" spans="2:14" ht="15.75" customHeight="1" thickBot="1">
      <c r="B16" s="290" t="s">
        <v>285</v>
      </c>
      <c r="C16" s="167"/>
      <c r="D16" s="167"/>
      <c r="E16" s="167"/>
      <c r="I16" s="328" t="s">
        <v>133</v>
      </c>
      <c r="J16" s="328"/>
      <c r="K16" s="328"/>
      <c r="L16" s="328"/>
      <c r="M16" s="328"/>
      <c r="N16" s="161"/>
    </row>
    <row r="17" spans="2:14" ht="46.5" thickBot="1" thickTop="1">
      <c r="B17" s="162" t="s">
        <v>99</v>
      </c>
      <c r="C17" s="162" t="s">
        <v>100</v>
      </c>
      <c r="D17" s="163" t="s">
        <v>105</v>
      </c>
      <c r="E17" s="168"/>
      <c r="I17" s="187" t="s">
        <v>134</v>
      </c>
      <c r="J17" s="187" t="s">
        <v>135</v>
      </c>
      <c r="K17" s="187" t="s">
        <v>136</v>
      </c>
      <c r="L17" s="187"/>
      <c r="N17" s="187"/>
    </row>
    <row r="18" spans="2:14" ht="15.75" thickTop="1">
      <c r="B18" s="291">
        <v>0.01</v>
      </c>
      <c r="C18" s="164">
        <f aca="true" t="shared" si="0" ref="C18:C27">B19-0.01</f>
        <v>1768.96</v>
      </c>
      <c r="D18" s="164">
        <v>407.02</v>
      </c>
      <c r="E18" s="164"/>
      <c r="I18" s="187" t="s">
        <v>130</v>
      </c>
      <c r="J18" s="187" t="s">
        <v>130</v>
      </c>
      <c r="K18" s="187" t="s">
        <v>130</v>
      </c>
      <c r="L18" s="187"/>
      <c r="N18" s="187"/>
    </row>
    <row r="19" spans="2:14" ht="15">
      <c r="B19" s="291">
        <v>1768.97</v>
      </c>
      <c r="C19" s="164">
        <f t="shared" si="0"/>
        <v>2653.3799999999997</v>
      </c>
      <c r="D19" s="164">
        <v>406.83</v>
      </c>
      <c r="E19" s="164"/>
      <c r="I19" s="365">
        <v>0.01</v>
      </c>
      <c r="J19" s="365">
        <v>407.33</v>
      </c>
      <c r="K19" s="365">
        <v>93.73</v>
      </c>
      <c r="N19" s="187"/>
    </row>
    <row r="20" spans="2:14" ht="15">
      <c r="B20" s="291">
        <v>2653.39</v>
      </c>
      <c r="C20" s="164">
        <f t="shared" si="0"/>
        <v>3472.8399999999997</v>
      </c>
      <c r="D20" s="164">
        <v>406.62</v>
      </c>
      <c r="E20" s="164"/>
      <c r="I20" s="365">
        <v>407.34</v>
      </c>
      <c r="J20" s="365">
        <v>610.96</v>
      </c>
      <c r="K20" s="365">
        <v>93.66</v>
      </c>
      <c r="N20" s="187"/>
    </row>
    <row r="21" spans="2:14" ht="15">
      <c r="B21" s="291">
        <v>3472.85</v>
      </c>
      <c r="C21" s="164">
        <f t="shared" si="0"/>
        <v>3537.87</v>
      </c>
      <c r="D21" s="164">
        <v>392.77</v>
      </c>
      <c r="E21" s="164"/>
      <c r="I21" s="365">
        <v>610.97</v>
      </c>
      <c r="J21" s="365">
        <v>799.68</v>
      </c>
      <c r="K21" s="365">
        <v>93.66</v>
      </c>
      <c r="N21" s="187"/>
    </row>
    <row r="22" spans="2:14" ht="15">
      <c r="B22" s="291">
        <v>3537.88</v>
      </c>
      <c r="C22" s="164">
        <f t="shared" si="0"/>
        <v>4446.15</v>
      </c>
      <c r="D22" s="164">
        <v>382.46</v>
      </c>
      <c r="E22" s="164"/>
      <c r="I22" s="365">
        <v>799.69</v>
      </c>
      <c r="J22" s="365">
        <v>814.66</v>
      </c>
      <c r="K22" s="365">
        <v>90.44</v>
      </c>
      <c r="N22" s="187"/>
    </row>
    <row r="23" spans="2:14" ht="15">
      <c r="B23" s="291">
        <v>4446.16</v>
      </c>
      <c r="C23" s="164">
        <f t="shared" si="0"/>
        <v>4717.179999999999</v>
      </c>
      <c r="D23" s="164">
        <v>354.23</v>
      </c>
      <c r="E23" s="164"/>
      <c r="I23" s="365">
        <v>814.67</v>
      </c>
      <c r="J23" s="366">
        <v>1023.75</v>
      </c>
      <c r="K23" s="365">
        <v>88.06</v>
      </c>
      <c r="N23" s="187"/>
    </row>
    <row r="24" spans="2:14" ht="15">
      <c r="B24" s="291">
        <v>4717.19</v>
      </c>
      <c r="C24" s="164">
        <f t="shared" si="0"/>
        <v>5335.42</v>
      </c>
      <c r="D24" s="164">
        <v>324.87</v>
      </c>
      <c r="E24" s="164"/>
      <c r="I24" s="366">
        <v>1023.76</v>
      </c>
      <c r="J24" s="366">
        <v>1086.19</v>
      </c>
      <c r="K24" s="365">
        <v>81.55</v>
      </c>
      <c r="N24" s="187"/>
    </row>
    <row r="25" spans="2:14" ht="15">
      <c r="B25" s="291">
        <v>5335.43</v>
      </c>
      <c r="C25" s="164">
        <f t="shared" si="0"/>
        <v>6224.67</v>
      </c>
      <c r="D25" s="164">
        <v>294.63</v>
      </c>
      <c r="E25" s="164"/>
      <c r="I25" s="366">
        <v>1086.2</v>
      </c>
      <c r="J25" s="366">
        <v>1228.57</v>
      </c>
      <c r="K25" s="365">
        <v>74.83</v>
      </c>
      <c r="N25" s="187"/>
    </row>
    <row r="26" spans="2:14" ht="15">
      <c r="B26" s="291">
        <v>6224.68</v>
      </c>
      <c r="C26" s="164">
        <f t="shared" si="0"/>
        <v>7113.9</v>
      </c>
      <c r="D26" s="164">
        <v>253.54</v>
      </c>
      <c r="E26" s="164"/>
      <c r="I26" s="366">
        <v>1228.58</v>
      </c>
      <c r="J26" s="366">
        <v>1433.32</v>
      </c>
      <c r="K26" s="365">
        <v>67.83</v>
      </c>
      <c r="N26" s="187"/>
    </row>
    <row r="27" spans="2:14" ht="15">
      <c r="B27" s="291">
        <v>7113.91</v>
      </c>
      <c r="C27" s="164">
        <f t="shared" si="0"/>
        <v>7382.33</v>
      </c>
      <c r="D27" s="164">
        <v>217.61</v>
      </c>
      <c r="E27" s="164"/>
      <c r="I27" s="366">
        <v>1433.33</v>
      </c>
      <c r="J27" s="366">
        <v>1638.07</v>
      </c>
      <c r="K27" s="365">
        <v>58.38</v>
      </c>
      <c r="N27" s="187"/>
    </row>
    <row r="28" spans="2:14" ht="15">
      <c r="B28" s="291">
        <v>7382.34</v>
      </c>
      <c r="C28" s="164" t="s">
        <v>103</v>
      </c>
      <c r="D28" s="164">
        <v>0</v>
      </c>
      <c r="E28" s="164"/>
      <c r="I28" s="366">
        <v>1638.08</v>
      </c>
      <c r="J28" s="366">
        <v>1699.88</v>
      </c>
      <c r="K28" s="365">
        <v>50.12</v>
      </c>
      <c r="N28" s="187"/>
    </row>
    <row r="29" spans="6:14" ht="15">
      <c r="F29" s="159"/>
      <c r="I29" s="366">
        <v>1699.89</v>
      </c>
      <c r="J29" s="365" t="s">
        <v>103</v>
      </c>
      <c r="K29" s="365">
        <v>0</v>
      </c>
      <c r="N29" s="187"/>
    </row>
    <row r="30" spans="6:14" ht="15">
      <c r="F30" s="159"/>
      <c r="N30" s="161"/>
    </row>
    <row r="31" spans="6:9" ht="31.5">
      <c r="F31" s="159"/>
      <c r="G31" s="169" t="s">
        <v>294</v>
      </c>
      <c r="I31" s="159"/>
    </row>
    <row r="32" spans="1:25" ht="71.25" customHeight="1">
      <c r="A32" s="170" t="s">
        <v>106</v>
      </c>
      <c r="B32" s="171" t="s">
        <v>107</v>
      </c>
      <c r="C32" s="78" t="s">
        <v>292</v>
      </c>
      <c r="D32" s="171" t="s">
        <v>119</v>
      </c>
      <c r="E32" s="171"/>
      <c r="F32" s="171" t="s">
        <v>108</v>
      </c>
      <c r="G32" s="171" t="s">
        <v>109</v>
      </c>
      <c r="H32" s="171" t="s">
        <v>110</v>
      </c>
      <c r="I32" s="171" t="s">
        <v>111</v>
      </c>
      <c r="J32" s="171" t="s">
        <v>99</v>
      </c>
      <c r="K32" s="171" t="s">
        <v>112</v>
      </c>
      <c r="L32" s="171" t="s">
        <v>113</v>
      </c>
      <c r="M32" s="171" t="s">
        <v>114</v>
      </c>
      <c r="N32" s="171" t="s">
        <v>101</v>
      </c>
      <c r="O32" s="171" t="s">
        <v>115</v>
      </c>
      <c r="P32" s="171" t="s">
        <v>116</v>
      </c>
      <c r="Q32" s="171" t="s">
        <v>115</v>
      </c>
      <c r="R32" s="171" t="s">
        <v>117</v>
      </c>
      <c r="X32" s="172"/>
      <c r="Y32" s="78" t="s">
        <v>115</v>
      </c>
    </row>
    <row r="33" spans="1:24" ht="15">
      <c r="A33" s="329"/>
      <c r="B33" s="329"/>
      <c r="F33" s="172"/>
      <c r="G33" s="173"/>
      <c r="H33" s="167"/>
      <c r="I33" s="167"/>
      <c r="J33" s="167"/>
      <c r="K33" s="167"/>
      <c r="L33" s="174"/>
      <c r="M33" s="175"/>
      <c r="N33" s="175"/>
      <c r="O33" s="176"/>
      <c r="P33" s="167"/>
      <c r="Q33" s="167"/>
      <c r="R33" s="167"/>
      <c r="X33" s="172"/>
    </row>
    <row r="34" spans="1:24" ht="15">
      <c r="A34" s="177"/>
      <c r="B34" s="292" t="str">
        <f>+modsalario2021!B4</f>
        <v>A</v>
      </c>
      <c r="C34" s="173">
        <f>+'1a semana'!T7</f>
        <v>1355.739</v>
      </c>
      <c r="D34" s="173"/>
      <c r="E34" s="173"/>
      <c r="F34" s="172">
        <f aca="true" t="shared" si="1" ref="F34:F41">C34+D34</f>
        <v>1355.739</v>
      </c>
      <c r="G34" s="181">
        <f>+'1a semana'!O7</f>
        <v>0</v>
      </c>
      <c r="H34" s="172">
        <f aca="true" t="shared" si="2" ref="H34:H41">F34-G34</f>
        <v>1355.739</v>
      </c>
      <c r="I34" s="172">
        <f>H34</f>
        <v>1355.739</v>
      </c>
      <c r="J34" s="172">
        <f>IF(I34&gt;0,LOOKUP(I34,$I$3:$J$14,$I$3:$I$14),0)</f>
        <v>1259.73</v>
      </c>
      <c r="K34" s="172">
        <f>I34-J34</f>
        <v>96.00900000000001</v>
      </c>
      <c r="L34" s="174">
        <f>IF(I34&gt;0,LOOKUP(I34,$I$3:$J$14,$L$3:$L$14),0)</f>
        <v>0.1088</v>
      </c>
      <c r="M34" s="178">
        <f>K34*L34</f>
        <v>10.4457792</v>
      </c>
      <c r="N34" s="178">
        <f>IF(I34&gt;0,LOOKUP(I34,$I$3:$J$14,$K$3:$K$14),0)</f>
        <v>73.99</v>
      </c>
      <c r="O34" s="179">
        <f>N34+M34</f>
        <v>84.4357792</v>
      </c>
      <c r="P34" s="172">
        <f aca="true" t="shared" si="3" ref="P34:P46">IF(I34&gt;0,LOOKUP(I34,$I$19:$J$29,$K$19:$K$29),0)</f>
        <v>67.83</v>
      </c>
      <c r="Q34" s="172">
        <f>IF(O34&gt;P34,O34-P34,0)</f>
        <v>16.6057792</v>
      </c>
      <c r="R34" s="172">
        <f aca="true" t="shared" si="4" ref="R34:R41">IF(O34&lt;P34,O34-P34,0)</f>
        <v>0</v>
      </c>
      <c r="X34" s="172"/>
    </row>
    <row r="35" spans="1:24" ht="15">
      <c r="A35" s="177"/>
      <c r="B35" s="292" t="str">
        <f>+modsalario2021!B5</f>
        <v>B</v>
      </c>
      <c r="C35" s="181">
        <f>+'1a semana'!T8</f>
        <v>1355.739</v>
      </c>
      <c r="D35" s="173"/>
      <c r="E35" s="173"/>
      <c r="F35" s="172">
        <f t="shared" si="1"/>
        <v>1355.739</v>
      </c>
      <c r="G35" s="181">
        <f>+'1a semana'!O8</f>
        <v>0</v>
      </c>
      <c r="H35" s="172">
        <f t="shared" si="2"/>
        <v>1355.739</v>
      </c>
      <c r="I35" s="172">
        <f aca="true" t="shared" si="5" ref="I35:I41">H35</f>
        <v>1355.739</v>
      </c>
      <c r="J35" s="172">
        <f aca="true" t="shared" si="6" ref="J35:J46">IF(I35&gt;0,LOOKUP(I35,$I$3:$J$14,$I$3:$I$14),0)</f>
        <v>1259.73</v>
      </c>
      <c r="K35" s="172">
        <f aca="true" t="shared" si="7" ref="K35:K41">I35-J35</f>
        <v>96.00900000000001</v>
      </c>
      <c r="L35" s="174">
        <f aca="true" t="shared" si="8" ref="L35:L46">IF(I35&gt;0,LOOKUP(I35,$I$3:$J$14,$L$3:$L$14),0)</f>
        <v>0.1088</v>
      </c>
      <c r="M35" s="178">
        <f aca="true" t="shared" si="9" ref="M35:M41">K35*L35</f>
        <v>10.4457792</v>
      </c>
      <c r="N35" s="178">
        <f aca="true" t="shared" si="10" ref="N35:N46">IF(I35&gt;0,LOOKUP(I35,$I$3:$J$14,$K$3:$K$14),0)</f>
        <v>73.99</v>
      </c>
      <c r="O35" s="179">
        <f aca="true" t="shared" si="11" ref="O35:O41">N35+M35</f>
        <v>84.4357792</v>
      </c>
      <c r="P35" s="172">
        <f t="shared" si="3"/>
        <v>67.83</v>
      </c>
      <c r="Q35" s="180">
        <f aca="true" t="shared" si="12" ref="Q35:Q54">IF(O35&gt;P35,O35-P35,0)</f>
        <v>16.6057792</v>
      </c>
      <c r="R35" s="172">
        <f t="shared" si="4"/>
        <v>0</v>
      </c>
      <c r="X35" s="172"/>
    </row>
    <row r="36" spans="1:24" ht="15">
      <c r="A36" s="177"/>
      <c r="B36" s="292" t="str">
        <f>+modsalario2021!B6</f>
        <v>C</v>
      </c>
      <c r="C36" s="181">
        <f>+'1a semana'!T9</f>
        <v>0</v>
      </c>
      <c r="D36" s="173"/>
      <c r="E36" s="173"/>
      <c r="F36" s="172">
        <f t="shared" si="1"/>
        <v>0</v>
      </c>
      <c r="G36" s="181">
        <f>+'1a semana'!O9</f>
        <v>0</v>
      </c>
      <c r="H36" s="172">
        <f t="shared" si="2"/>
        <v>0</v>
      </c>
      <c r="I36" s="172">
        <f t="shared" si="5"/>
        <v>0</v>
      </c>
      <c r="J36" s="172">
        <f t="shared" si="6"/>
        <v>0</v>
      </c>
      <c r="K36" s="172">
        <f t="shared" si="7"/>
        <v>0</v>
      </c>
      <c r="L36" s="174">
        <f t="shared" si="8"/>
        <v>0</v>
      </c>
      <c r="M36" s="178">
        <f t="shared" si="9"/>
        <v>0</v>
      </c>
      <c r="N36" s="178">
        <f t="shared" si="10"/>
        <v>0</v>
      </c>
      <c r="O36" s="179">
        <f t="shared" si="11"/>
        <v>0</v>
      </c>
      <c r="P36" s="172">
        <f t="shared" si="3"/>
        <v>0</v>
      </c>
      <c r="Q36" s="180">
        <f t="shared" si="12"/>
        <v>0</v>
      </c>
      <c r="R36" s="172">
        <f t="shared" si="4"/>
        <v>0</v>
      </c>
      <c r="X36" s="172"/>
    </row>
    <row r="37" spans="1:24" ht="15">
      <c r="A37" s="177"/>
      <c r="B37" s="292" t="str">
        <f>+modsalario2021!B7</f>
        <v>D</v>
      </c>
      <c r="C37" s="181">
        <f>+'1a semana'!T10</f>
        <v>1355.739</v>
      </c>
      <c r="D37" s="173"/>
      <c r="E37" s="173"/>
      <c r="F37" s="172">
        <f t="shared" si="1"/>
        <v>1355.739</v>
      </c>
      <c r="G37" s="181">
        <f>+'1a semana'!O10</f>
        <v>0</v>
      </c>
      <c r="H37" s="172">
        <f t="shared" si="2"/>
        <v>1355.739</v>
      </c>
      <c r="I37" s="172">
        <f t="shared" si="5"/>
        <v>1355.739</v>
      </c>
      <c r="J37" s="172">
        <f t="shared" si="6"/>
        <v>1259.73</v>
      </c>
      <c r="K37" s="172">
        <f t="shared" si="7"/>
        <v>96.00900000000001</v>
      </c>
      <c r="L37" s="174">
        <f t="shared" si="8"/>
        <v>0.1088</v>
      </c>
      <c r="M37" s="178">
        <f t="shared" si="9"/>
        <v>10.4457792</v>
      </c>
      <c r="N37" s="178">
        <f t="shared" si="10"/>
        <v>73.99</v>
      </c>
      <c r="O37" s="179">
        <f t="shared" si="11"/>
        <v>84.4357792</v>
      </c>
      <c r="P37" s="172">
        <f t="shared" si="3"/>
        <v>67.83</v>
      </c>
      <c r="Q37" s="180">
        <f t="shared" si="12"/>
        <v>16.6057792</v>
      </c>
      <c r="R37" s="172">
        <f t="shared" si="4"/>
        <v>0</v>
      </c>
      <c r="X37" s="172"/>
    </row>
    <row r="38" spans="1:24" ht="15">
      <c r="A38" s="177"/>
      <c r="B38" s="292" t="str">
        <f>+modsalario2021!B8</f>
        <v>E</v>
      </c>
      <c r="C38" s="181">
        <f>+'1a semana'!T11</f>
        <v>2041.1999999999998</v>
      </c>
      <c r="D38" s="173"/>
      <c r="E38" s="173"/>
      <c r="F38" s="172">
        <f t="shared" si="1"/>
        <v>2041.1999999999998</v>
      </c>
      <c r="G38" s="181">
        <f>+'1a semana'!O11</f>
        <v>680.4</v>
      </c>
      <c r="H38" s="172">
        <f t="shared" si="2"/>
        <v>1360.7999999999997</v>
      </c>
      <c r="I38" s="172">
        <f t="shared" si="5"/>
        <v>1360.7999999999997</v>
      </c>
      <c r="J38" s="172">
        <f t="shared" si="6"/>
        <v>1259.73</v>
      </c>
      <c r="K38" s="172">
        <f t="shared" si="7"/>
        <v>101.06999999999971</v>
      </c>
      <c r="L38" s="174">
        <f t="shared" si="8"/>
        <v>0.1088</v>
      </c>
      <c r="M38" s="178">
        <f t="shared" si="9"/>
        <v>10.996415999999968</v>
      </c>
      <c r="N38" s="178">
        <f t="shared" si="10"/>
        <v>73.99</v>
      </c>
      <c r="O38" s="179">
        <f t="shared" si="11"/>
        <v>84.98641599999996</v>
      </c>
      <c r="P38" s="172">
        <f t="shared" si="3"/>
        <v>67.83</v>
      </c>
      <c r="Q38" s="180">
        <f t="shared" si="12"/>
        <v>17.156415999999965</v>
      </c>
      <c r="R38" s="172">
        <f t="shared" si="4"/>
        <v>0</v>
      </c>
      <c r="X38" s="172"/>
    </row>
    <row r="39" spans="1:24" ht="15">
      <c r="A39" s="177"/>
      <c r="B39" s="292" t="str">
        <f>+modsalario2021!B9</f>
        <v>F</v>
      </c>
      <c r="C39" s="181">
        <f>+'1a semana'!T12</f>
        <v>1355.739</v>
      </c>
      <c r="D39" s="173"/>
      <c r="E39" s="173"/>
      <c r="F39" s="172">
        <f t="shared" si="1"/>
        <v>1355.739</v>
      </c>
      <c r="G39" s="181">
        <f>+'1a semana'!O12</f>
        <v>0</v>
      </c>
      <c r="H39" s="172">
        <f t="shared" si="2"/>
        <v>1355.739</v>
      </c>
      <c r="I39" s="172">
        <f t="shared" si="5"/>
        <v>1355.739</v>
      </c>
      <c r="J39" s="172">
        <f t="shared" si="6"/>
        <v>1259.73</v>
      </c>
      <c r="K39" s="172">
        <f t="shared" si="7"/>
        <v>96.00900000000001</v>
      </c>
      <c r="L39" s="174">
        <f t="shared" si="8"/>
        <v>0.1088</v>
      </c>
      <c r="M39" s="178">
        <f t="shared" si="9"/>
        <v>10.4457792</v>
      </c>
      <c r="N39" s="178">
        <f t="shared" si="10"/>
        <v>73.99</v>
      </c>
      <c r="O39" s="179">
        <f t="shared" si="11"/>
        <v>84.4357792</v>
      </c>
      <c r="P39" s="172">
        <f t="shared" si="3"/>
        <v>67.83</v>
      </c>
      <c r="Q39" s="180">
        <f t="shared" si="12"/>
        <v>16.6057792</v>
      </c>
      <c r="R39" s="172">
        <f t="shared" si="4"/>
        <v>0</v>
      </c>
      <c r="X39" s="172"/>
    </row>
    <row r="40" spans="1:24" ht="15">
      <c r="A40" s="177"/>
      <c r="B40" s="292" t="str">
        <f>+modsalario2021!B10</f>
        <v>G</v>
      </c>
      <c r="C40" s="181">
        <f>+'1a semana'!T13</f>
        <v>1355.739</v>
      </c>
      <c r="D40" s="173"/>
      <c r="E40" s="173"/>
      <c r="F40" s="172">
        <f t="shared" si="1"/>
        <v>1355.739</v>
      </c>
      <c r="G40" s="181">
        <f>+'1a semana'!O13</f>
        <v>0</v>
      </c>
      <c r="H40" s="172">
        <f>F40-G40</f>
        <v>1355.739</v>
      </c>
      <c r="I40" s="172">
        <f>H40</f>
        <v>1355.739</v>
      </c>
      <c r="J40" s="172">
        <f t="shared" si="6"/>
        <v>1259.73</v>
      </c>
      <c r="K40" s="172">
        <f>I40-J40</f>
        <v>96.00900000000001</v>
      </c>
      <c r="L40" s="174">
        <f t="shared" si="8"/>
        <v>0.1088</v>
      </c>
      <c r="M40" s="178">
        <f>K40*L40</f>
        <v>10.4457792</v>
      </c>
      <c r="N40" s="178">
        <f t="shared" si="10"/>
        <v>73.99</v>
      </c>
      <c r="O40" s="179">
        <f>N40+M40</f>
        <v>84.4357792</v>
      </c>
      <c r="P40" s="172">
        <f t="shared" si="3"/>
        <v>67.83</v>
      </c>
      <c r="Q40" s="180">
        <f t="shared" si="12"/>
        <v>16.6057792</v>
      </c>
      <c r="R40" s="172">
        <f t="shared" si="4"/>
        <v>0</v>
      </c>
      <c r="X40" s="172"/>
    </row>
    <row r="41" spans="1:24" ht="15">
      <c r="A41" s="177"/>
      <c r="B41" s="292" t="str">
        <f>+modsalario2021!B11</f>
        <v>H</v>
      </c>
      <c r="C41" s="181">
        <f>+'1a semana'!T14</f>
        <v>1173.6339999999998</v>
      </c>
      <c r="D41" s="173"/>
      <c r="E41" s="173"/>
      <c r="F41" s="172">
        <f t="shared" si="1"/>
        <v>1173.6339999999998</v>
      </c>
      <c r="G41" s="181">
        <f>+'1a semana'!O14</f>
        <v>0</v>
      </c>
      <c r="H41" s="172">
        <f t="shared" si="2"/>
        <v>1173.6339999999998</v>
      </c>
      <c r="I41" s="172">
        <f t="shared" si="5"/>
        <v>1173.6339999999998</v>
      </c>
      <c r="J41" s="172">
        <f t="shared" si="6"/>
        <v>148.41</v>
      </c>
      <c r="K41" s="172">
        <f t="shared" si="7"/>
        <v>1025.2239999999997</v>
      </c>
      <c r="L41" s="174">
        <f t="shared" si="8"/>
        <v>0.064</v>
      </c>
      <c r="M41" s="178">
        <f t="shared" si="9"/>
        <v>65.61433599999998</v>
      </c>
      <c r="N41" s="178">
        <f t="shared" si="10"/>
        <v>2.87</v>
      </c>
      <c r="O41" s="179">
        <f t="shared" si="11"/>
        <v>68.48433599999998</v>
      </c>
      <c r="P41" s="172">
        <f t="shared" si="3"/>
        <v>74.83</v>
      </c>
      <c r="Q41" s="180">
        <f t="shared" si="12"/>
        <v>0</v>
      </c>
      <c r="R41" s="172">
        <f t="shared" si="4"/>
        <v>-6.3456640000000135</v>
      </c>
      <c r="X41" s="172"/>
    </row>
    <row r="42" spans="1:24" ht="15">
      <c r="A42" s="177"/>
      <c r="B42" s="292" t="str">
        <f>+modsalario2021!B12</f>
        <v>I</v>
      </c>
      <c r="C42" s="181">
        <f>+'1a semana'!T15</f>
        <v>1355.739</v>
      </c>
      <c r="D42" s="181"/>
      <c r="E42" s="181"/>
      <c r="F42" s="172">
        <f>C42+D42</f>
        <v>1355.739</v>
      </c>
      <c r="G42" s="181">
        <f>+'1a semana'!O15</f>
        <v>0</v>
      </c>
      <c r="H42" s="172">
        <f>F42-G42</f>
        <v>1355.739</v>
      </c>
      <c r="I42" s="172">
        <f>H42</f>
        <v>1355.739</v>
      </c>
      <c r="J42" s="172">
        <f t="shared" si="6"/>
        <v>1259.73</v>
      </c>
      <c r="K42" s="172">
        <f>I42-J42</f>
        <v>96.00900000000001</v>
      </c>
      <c r="L42" s="174">
        <f t="shared" si="8"/>
        <v>0.1088</v>
      </c>
      <c r="M42" s="178">
        <f>K42*L42</f>
        <v>10.4457792</v>
      </c>
      <c r="N42" s="178">
        <f t="shared" si="10"/>
        <v>73.99</v>
      </c>
      <c r="O42" s="179">
        <f>N42+M42</f>
        <v>84.4357792</v>
      </c>
      <c r="P42" s="172">
        <f t="shared" si="3"/>
        <v>67.83</v>
      </c>
      <c r="Q42" s="180">
        <f t="shared" si="12"/>
        <v>16.6057792</v>
      </c>
      <c r="R42" s="172">
        <f>IF(O42&lt;P42,O42-P42,0)</f>
        <v>0</v>
      </c>
      <c r="X42" s="172"/>
    </row>
    <row r="43" spans="1:24" ht="15">
      <c r="A43" s="177"/>
      <c r="B43" s="292" t="str">
        <f>+modsalario2021!B13</f>
        <v>J</v>
      </c>
      <c r="C43" s="181">
        <f>+'1a semana'!T16</f>
        <v>1355.739</v>
      </c>
      <c r="D43" s="181"/>
      <c r="E43" s="181"/>
      <c r="F43" s="172">
        <f>C43+D43</f>
        <v>1355.739</v>
      </c>
      <c r="G43" s="181">
        <f>+'1a semana'!O16</f>
        <v>0</v>
      </c>
      <c r="H43" s="172">
        <f>F43-G43</f>
        <v>1355.739</v>
      </c>
      <c r="I43" s="172">
        <f>H43</f>
        <v>1355.739</v>
      </c>
      <c r="J43" s="172">
        <f t="shared" si="6"/>
        <v>1259.73</v>
      </c>
      <c r="K43" s="172">
        <f>I43-J43</f>
        <v>96.00900000000001</v>
      </c>
      <c r="L43" s="174">
        <f t="shared" si="8"/>
        <v>0.1088</v>
      </c>
      <c r="M43" s="178">
        <f>K43*L43</f>
        <v>10.4457792</v>
      </c>
      <c r="N43" s="178">
        <f t="shared" si="10"/>
        <v>73.99</v>
      </c>
      <c r="O43" s="179">
        <f>N43+M43</f>
        <v>84.4357792</v>
      </c>
      <c r="P43" s="172">
        <f t="shared" si="3"/>
        <v>67.83</v>
      </c>
      <c r="Q43" s="180">
        <f t="shared" si="12"/>
        <v>16.6057792</v>
      </c>
      <c r="R43" s="172">
        <f>IF(O43&lt;P43,O43-P43,0)</f>
        <v>0</v>
      </c>
      <c r="X43" s="172"/>
    </row>
    <row r="44" spans="1:24" ht="15">
      <c r="A44" s="177"/>
      <c r="B44" s="292" t="str">
        <f>+modsalario2021!B14</f>
        <v>K</v>
      </c>
      <c r="C44" s="181">
        <f>+'1a semana'!T17</f>
        <v>2179.1</v>
      </c>
      <c r="D44" s="181"/>
      <c r="E44" s="181"/>
      <c r="F44" s="172">
        <f>C44+D44</f>
        <v>2179.1</v>
      </c>
      <c r="G44" s="181">
        <f>+'1a semana'!O17</f>
        <v>0</v>
      </c>
      <c r="H44" s="172">
        <f>F44-G44</f>
        <v>2179.1</v>
      </c>
      <c r="I44" s="172">
        <f>H44</f>
        <v>2179.1</v>
      </c>
      <c r="J44" s="172">
        <f t="shared" si="6"/>
        <v>1259.73</v>
      </c>
      <c r="K44" s="172">
        <f>I44-J44</f>
        <v>919.3699999999999</v>
      </c>
      <c r="L44" s="174">
        <f t="shared" si="8"/>
        <v>0.1088</v>
      </c>
      <c r="M44" s="178">
        <f>K44*L44</f>
        <v>100.02745599999999</v>
      </c>
      <c r="N44" s="178">
        <f t="shared" si="10"/>
        <v>73.99</v>
      </c>
      <c r="O44" s="179">
        <f>N44+M44</f>
        <v>174.01745599999998</v>
      </c>
      <c r="P44" s="172">
        <f t="shared" si="3"/>
        <v>0</v>
      </c>
      <c r="Q44" s="180">
        <f t="shared" si="12"/>
        <v>174.01745599999998</v>
      </c>
      <c r="R44" s="172">
        <f>IF(O44&lt;P44,O44-P44,0)</f>
        <v>0</v>
      </c>
      <c r="X44" s="172"/>
    </row>
    <row r="45" spans="1:24" ht="15">
      <c r="A45" s="177"/>
      <c r="B45" s="292" t="str">
        <f>+modsalario2021!B15</f>
        <v>L </v>
      </c>
      <c r="C45" s="181">
        <f>+'1a semana'!T18</f>
        <v>1355.739</v>
      </c>
      <c r="D45" s="181"/>
      <c r="E45" s="181"/>
      <c r="F45" s="172">
        <f>C45+D45</f>
        <v>1355.739</v>
      </c>
      <c r="G45" s="181">
        <f>+'1a semana'!O18</f>
        <v>0</v>
      </c>
      <c r="H45" s="172">
        <f>F45-G45</f>
        <v>1355.739</v>
      </c>
      <c r="I45" s="172">
        <f>H45</f>
        <v>1355.739</v>
      </c>
      <c r="J45" s="172">
        <f t="shared" si="6"/>
        <v>1259.73</v>
      </c>
      <c r="K45" s="172">
        <f>I45-J45</f>
        <v>96.00900000000001</v>
      </c>
      <c r="L45" s="174">
        <f t="shared" si="8"/>
        <v>0.1088</v>
      </c>
      <c r="M45" s="178">
        <f>K45*L45</f>
        <v>10.4457792</v>
      </c>
      <c r="N45" s="178">
        <f t="shared" si="10"/>
        <v>73.99</v>
      </c>
      <c r="O45" s="179">
        <f>N45+M45</f>
        <v>84.4357792</v>
      </c>
      <c r="P45" s="172">
        <f t="shared" si="3"/>
        <v>67.83</v>
      </c>
      <c r="Q45" s="180">
        <f t="shared" si="12"/>
        <v>16.6057792</v>
      </c>
      <c r="R45" s="172">
        <f>IF(O45&lt;P45,O45-P45,0)</f>
        <v>0</v>
      </c>
      <c r="X45" s="172"/>
    </row>
    <row r="46" spans="1:24" ht="15">
      <c r="A46" s="177"/>
      <c r="B46" s="292" t="str">
        <f>+modsalario2021!B16</f>
        <v>LL</v>
      </c>
      <c r="C46" s="181">
        <f>+'1a semana'!T19</f>
        <v>2122.642</v>
      </c>
      <c r="D46" s="181"/>
      <c r="E46" s="181"/>
      <c r="F46" s="172">
        <f>C46+D46</f>
        <v>2122.642</v>
      </c>
      <c r="G46" s="181">
        <f>+'1a semana'!O19</f>
        <v>365.80799999999994</v>
      </c>
      <c r="H46" s="172">
        <f>F46-G46</f>
        <v>1756.8339999999998</v>
      </c>
      <c r="I46" s="172">
        <f>H46</f>
        <v>1756.8339999999998</v>
      </c>
      <c r="J46" s="172">
        <f t="shared" si="6"/>
        <v>1259.73</v>
      </c>
      <c r="K46" s="172">
        <f>I46-J46</f>
        <v>497.1039999999998</v>
      </c>
      <c r="L46" s="174">
        <f t="shared" si="8"/>
        <v>0.1088</v>
      </c>
      <c r="M46" s="178">
        <f>K46*L46</f>
        <v>54.084915199999976</v>
      </c>
      <c r="N46" s="178">
        <f t="shared" si="10"/>
        <v>73.99</v>
      </c>
      <c r="O46" s="179">
        <f>N46+M46</f>
        <v>128.07491519999996</v>
      </c>
      <c r="P46" s="172">
        <f t="shared" si="3"/>
        <v>0</v>
      </c>
      <c r="Q46" s="180">
        <f t="shared" si="12"/>
        <v>128.07491519999996</v>
      </c>
      <c r="R46" s="172">
        <f>IF(O46&lt;P46,O46-P46,0)</f>
        <v>0</v>
      </c>
      <c r="X46" s="172"/>
    </row>
    <row r="47" spans="1:24" ht="15">
      <c r="A47" s="177"/>
      <c r="B47" s="292" t="str">
        <f>+modsalario2021!B17</f>
        <v>M</v>
      </c>
      <c r="C47" s="181">
        <f>+'1a semana'!T20</f>
        <v>1173.6339999999998</v>
      </c>
      <c r="D47" s="181"/>
      <c r="E47" s="181"/>
      <c r="F47" s="172">
        <f aca="true" t="shared" si="13" ref="F47:F53">C47+D47</f>
        <v>1173.6339999999998</v>
      </c>
      <c r="G47" s="181">
        <f>+'1a semana'!O20</f>
        <v>0</v>
      </c>
      <c r="H47" s="172">
        <f aca="true" t="shared" si="14" ref="H47:H53">F47-G47</f>
        <v>1173.6339999999998</v>
      </c>
      <c r="I47" s="172">
        <f aca="true" t="shared" si="15" ref="I47:I53">H47</f>
        <v>1173.6339999999998</v>
      </c>
      <c r="J47" s="172">
        <f aca="true" t="shared" si="16" ref="J47:J53">IF(I47&gt;0,LOOKUP(I47,$I$3:$J$14,$I$3:$I$14),0)</f>
        <v>148.41</v>
      </c>
      <c r="K47" s="172">
        <f aca="true" t="shared" si="17" ref="K47:K53">I47-J47</f>
        <v>1025.2239999999997</v>
      </c>
      <c r="L47" s="174">
        <f aca="true" t="shared" si="18" ref="L47:L53">IF(I47&gt;0,LOOKUP(I47,$I$3:$J$14,$L$3:$L$14),0)</f>
        <v>0.064</v>
      </c>
      <c r="M47" s="178">
        <f aca="true" t="shared" si="19" ref="M47:M53">K47*L47</f>
        <v>65.61433599999998</v>
      </c>
      <c r="N47" s="178">
        <f aca="true" t="shared" si="20" ref="N47:N53">IF(I47&gt;0,LOOKUP(I47,$I$3:$J$14,$K$3:$K$14),0)</f>
        <v>2.87</v>
      </c>
      <c r="O47" s="179">
        <f aca="true" t="shared" si="21" ref="O47:O53">N47+M47</f>
        <v>68.48433599999998</v>
      </c>
      <c r="P47" s="172">
        <f aca="true" t="shared" si="22" ref="P47:P53">IF(I47&gt;0,LOOKUP(I47,$I$19:$J$29,$K$19:$K$29),0)</f>
        <v>74.83</v>
      </c>
      <c r="Q47" s="180">
        <f t="shared" si="12"/>
        <v>0</v>
      </c>
      <c r="R47" s="172">
        <f aca="true" t="shared" si="23" ref="R47:R53">IF(O47&lt;P47,O47-P47,0)</f>
        <v>-6.3456640000000135</v>
      </c>
      <c r="X47" s="172"/>
    </row>
    <row r="48" spans="1:25" ht="15">
      <c r="A48" s="177"/>
      <c r="B48" s="292" t="str">
        <f>+modsalario2021!B18</f>
        <v>N</v>
      </c>
      <c r="C48" s="181">
        <f>+'1a semana'!T21</f>
        <v>1813.7979999999998</v>
      </c>
      <c r="D48" s="181"/>
      <c r="E48" s="181"/>
      <c r="F48" s="172">
        <f t="shared" si="13"/>
        <v>1813.7979999999998</v>
      </c>
      <c r="G48" s="181">
        <f>+'1a semana'!O21</f>
        <v>640.1639999999999</v>
      </c>
      <c r="H48" s="172">
        <f t="shared" si="14"/>
        <v>1173.634</v>
      </c>
      <c r="I48" s="172">
        <f t="shared" si="15"/>
        <v>1173.634</v>
      </c>
      <c r="J48" s="172">
        <f t="shared" si="16"/>
        <v>148.41</v>
      </c>
      <c r="K48" s="172">
        <f t="shared" si="17"/>
        <v>1025.224</v>
      </c>
      <c r="L48" s="174">
        <f t="shared" si="18"/>
        <v>0.064</v>
      </c>
      <c r="M48" s="178">
        <f t="shared" si="19"/>
        <v>65.614336</v>
      </c>
      <c r="N48" s="178">
        <f t="shared" si="20"/>
        <v>2.87</v>
      </c>
      <c r="O48" s="179">
        <f t="shared" si="21"/>
        <v>68.484336</v>
      </c>
      <c r="P48" s="172">
        <f t="shared" si="22"/>
        <v>74.83</v>
      </c>
      <c r="Q48" s="180">
        <f t="shared" si="12"/>
        <v>0</v>
      </c>
      <c r="R48" s="172">
        <f t="shared" si="23"/>
        <v>-6.345663999999999</v>
      </c>
      <c r="X48" s="172"/>
      <c r="Y48" s="172"/>
    </row>
    <row r="49" spans="1:25" ht="15">
      <c r="A49" s="177"/>
      <c r="B49" s="292" t="str">
        <f>+modsalario2021!B19</f>
        <v>Ñ</v>
      </c>
      <c r="C49" s="181">
        <f>+'1a semana'!T22</f>
        <v>1447.9899999999998</v>
      </c>
      <c r="D49" s="181"/>
      <c r="E49" s="181"/>
      <c r="F49" s="172">
        <f t="shared" si="13"/>
        <v>1447.9899999999998</v>
      </c>
      <c r="G49" s="181">
        <f>+'1a semana'!O22</f>
        <v>274.35599999999994</v>
      </c>
      <c r="H49" s="172">
        <f t="shared" si="14"/>
        <v>1173.6339999999998</v>
      </c>
      <c r="I49" s="172">
        <f t="shared" si="15"/>
        <v>1173.6339999999998</v>
      </c>
      <c r="J49" s="172">
        <f t="shared" si="16"/>
        <v>148.41</v>
      </c>
      <c r="K49" s="172">
        <f t="shared" si="17"/>
        <v>1025.2239999999997</v>
      </c>
      <c r="L49" s="174">
        <f t="shared" si="18"/>
        <v>0.064</v>
      </c>
      <c r="M49" s="178">
        <f t="shared" si="19"/>
        <v>65.61433599999998</v>
      </c>
      <c r="N49" s="178">
        <f t="shared" si="20"/>
        <v>2.87</v>
      </c>
      <c r="O49" s="179">
        <f t="shared" si="21"/>
        <v>68.48433599999998</v>
      </c>
      <c r="P49" s="172">
        <f t="shared" si="22"/>
        <v>74.83</v>
      </c>
      <c r="Q49" s="180">
        <f t="shared" si="12"/>
        <v>0</v>
      </c>
      <c r="R49" s="172">
        <f t="shared" si="23"/>
        <v>-6.3456640000000135</v>
      </c>
      <c r="X49" s="172"/>
      <c r="Y49" s="172"/>
    </row>
    <row r="50" spans="1:25" ht="15">
      <c r="A50" s="177"/>
      <c r="B50" s="292" t="str">
        <f>+modsalario2021!B20</f>
        <v>O</v>
      </c>
      <c r="C50" s="181">
        <f>+'1a semana'!T23</f>
        <v>1672.665</v>
      </c>
      <c r="D50" s="181"/>
      <c r="E50" s="181"/>
      <c r="F50" s="172">
        <f t="shared" si="13"/>
        <v>1672.665</v>
      </c>
      <c r="G50" s="181">
        <f>+'1a semana'!O23</f>
        <v>316.926</v>
      </c>
      <c r="H50" s="172">
        <f t="shared" si="14"/>
        <v>1355.739</v>
      </c>
      <c r="I50" s="172">
        <f t="shared" si="15"/>
        <v>1355.739</v>
      </c>
      <c r="J50" s="172">
        <f t="shared" si="16"/>
        <v>1259.73</v>
      </c>
      <c r="K50" s="172">
        <f t="shared" si="17"/>
        <v>96.00900000000001</v>
      </c>
      <c r="L50" s="174">
        <f t="shared" si="18"/>
        <v>0.1088</v>
      </c>
      <c r="M50" s="178">
        <f t="shared" si="19"/>
        <v>10.4457792</v>
      </c>
      <c r="N50" s="178">
        <f t="shared" si="20"/>
        <v>73.99</v>
      </c>
      <c r="O50" s="179">
        <f t="shared" si="21"/>
        <v>84.4357792</v>
      </c>
      <c r="P50" s="172">
        <f t="shared" si="22"/>
        <v>67.83</v>
      </c>
      <c r="Q50" s="180">
        <f t="shared" si="12"/>
        <v>16.6057792</v>
      </c>
      <c r="R50" s="172">
        <f t="shared" si="23"/>
        <v>0</v>
      </c>
      <c r="X50" s="172"/>
      <c r="Y50" s="172"/>
    </row>
    <row r="51" spans="1:25" ht="15">
      <c r="A51" s="177"/>
      <c r="B51" s="292" t="str">
        <f>+modsalario2021!B21</f>
        <v>P </v>
      </c>
      <c r="C51" s="181">
        <f>+'1a semana'!T24</f>
        <v>1097.25</v>
      </c>
      <c r="D51" s="181"/>
      <c r="E51" s="181"/>
      <c r="F51" s="172">
        <f t="shared" si="13"/>
        <v>1097.25</v>
      </c>
      <c r="G51" s="181">
        <f>+'1a semana'!O24</f>
        <v>0</v>
      </c>
      <c r="H51" s="172">
        <f t="shared" si="14"/>
        <v>1097.25</v>
      </c>
      <c r="I51" s="172">
        <f t="shared" si="15"/>
        <v>1097.25</v>
      </c>
      <c r="J51" s="172">
        <f t="shared" si="16"/>
        <v>148.41</v>
      </c>
      <c r="K51" s="172">
        <f t="shared" si="17"/>
        <v>948.84</v>
      </c>
      <c r="L51" s="174">
        <f t="shared" si="18"/>
        <v>0.064</v>
      </c>
      <c r="M51" s="178">
        <f t="shared" si="19"/>
        <v>60.72576</v>
      </c>
      <c r="N51" s="178">
        <f t="shared" si="20"/>
        <v>2.87</v>
      </c>
      <c r="O51" s="179">
        <f t="shared" si="21"/>
        <v>63.59576</v>
      </c>
      <c r="P51" s="172">
        <f t="shared" si="22"/>
        <v>74.83</v>
      </c>
      <c r="Q51" s="180">
        <f t="shared" si="12"/>
        <v>0</v>
      </c>
      <c r="R51" s="172">
        <f t="shared" si="23"/>
        <v>-11.23424</v>
      </c>
      <c r="X51" s="172"/>
      <c r="Y51" s="172"/>
    </row>
    <row r="52" spans="1:25" s="159" customFormat="1" ht="15">
      <c r="A52" s="177"/>
      <c r="B52" s="292" t="str">
        <f>+modsalario2021!B22</f>
        <v>Q</v>
      </c>
      <c r="C52" s="181">
        <f>+'1a semana'!T25</f>
        <v>1173.6339999999998</v>
      </c>
      <c r="D52" s="181"/>
      <c r="E52" s="181"/>
      <c r="F52" s="180">
        <f t="shared" si="13"/>
        <v>1173.6339999999998</v>
      </c>
      <c r="G52" s="181">
        <f>+'1a semana'!O25</f>
        <v>0</v>
      </c>
      <c r="H52" s="180">
        <f t="shared" si="14"/>
        <v>1173.6339999999998</v>
      </c>
      <c r="I52" s="180">
        <f t="shared" si="15"/>
        <v>1173.6339999999998</v>
      </c>
      <c r="J52" s="180">
        <f t="shared" si="16"/>
        <v>148.41</v>
      </c>
      <c r="K52" s="180">
        <f t="shared" si="17"/>
        <v>1025.2239999999997</v>
      </c>
      <c r="L52" s="182">
        <f t="shared" si="18"/>
        <v>0.064</v>
      </c>
      <c r="M52" s="178">
        <f t="shared" si="19"/>
        <v>65.61433599999998</v>
      </c>
      <c r="N52" s="178">
        <f t="shared" si="20"/>
        <v>2.87</v>
      </c>
      <c r="O52" s="179">
        <f t="shared" si="21"/>
        <v>68.48433599999998</v>
      </c>
      <c r="P52" s="180">
        <f t="shared" si="22"/>
        <v>74.83</v>
      </c>
      <c r="Q52" s="180">
        <f t="shared" si="12"/>
        <v>0</v>
      </c>
      <c r="R52" s="180">
        <f t="shared" si="23"/>
        <v>-6.3456640000000135</v>
      </c>
      <c r="X52" s="180"/>
      <c r="Y52" s="180"/>
    </row>
    <row r="53" spans="1:25" s="159" customFormat="1" ht="15">
      <c r="A53" s="177"/>
      <c r="B53" s="292" t="str">
        <f>+modsalario2021!B25</f>
        <v>T</v>
      </c>
      <c r="C53" s="181">
        <f>+'1a semana'!T26</f>
        <v>1097.25</v>
      </c>
      <c r="D53" s="181"/>
      <c r="E53" s="181"/>
      <c r="F53" s="180">
        <f t="shared" si="13"/>
        <v>1097.25</v>
      </c>
      <c r="G53" s="181">
        <f>+'1a semana'!O26</f>
        <v>0</v>
      </c>
      <c r="H53" s="180">
        <f t="shared" si="14"/>
        <v>1097.25</v>
      </c>
      <c r="I53" s="180">
        <f t="shared" si="15"/>
        <v>1097.25</v>
      </c>
      <c r="J53" s="180">
        <f t="shared" si="16"/>
        <v>148.41</v>
      </c>
      <c r="K53" s="180">
        <f t="shared" si="17"/>
        <v>948.84</v>
      </c>
      <c r="L53" s="182">
        <f t="shared" si="18"/>
        <v>0.064</v>
      </c>
      <c r="M53" s="178">
        <f t="shared" si="19"/>
        <v>60.72576</v>
      </c>
      <c r="N53" s="178">
        <f t="shared" si="20"/>
        <v>2.87</v>
      </c>
      <c r="O53" s="179">
        <f t="shared" si="21"/>
        <v>63.59576</v>
      </c>
      <c r="P53" s="180">
        <f t="shared" si="22"/>
        <v>74.83</v>
      </c>
      <c r="Q53" s="180">
        <f t="shared" si="12"/>
        <v>0</v>
      </c>
      <c r="R53" s="180">
        <f t="shared" si="23"/>
        <v>-11.23424</v>
      </c>
      <c r="X53" s="180"/>
      <c r="Y53" s="180"/>
    </row>
    <row r="54" spans="1:25" s="159" customFormat="1" ht="15">
      <c r="A54" s="177"/>
      <c r="B54" s="292" t="str">
        <f>+modsalario2021!B26</f>
        <v>U</v>
      </c>
      <c r="C54" s="181">
        <f>+'1a semana'!T27</f>
        <v>1355.739</v>
      </c>
      <c r="D54" s="181"/>
      <c r="E54" s="181"/>
      <c r="F54" s="180">
        <f aca="true" t="shared" si="24" ref="F54:F62">C54+D54</f>
        <v>1355.739</v>
      </c>
      <c r="G54" s="181">
        <f>+'1a semana'!O27</f>
        <v>0</v>
      </c>
      <c r="H54" s="180">
        <f aca="true" t="shared" si="25" ref="H54:H62">F54-G54</f>
        <v>1355.739</v>
      </c>
      <c r="I54" s="180">
        <f aca="true" t="shared" si="26" ref="I54:I62">H54</f>
        <v>1355.739</v>
      </c>
      <c r="J54" s="180">
        <f aca="true" t="shared" si="27" ref="J54:J62">IF(I54&gt;0,LOOKUP(I54,$I$3:$J$14,$I$3:$I$14),0)</f>
        <v>1259.73</v>
      </c>
      <c r="K54" s="180">
        <f aca="true" t="shared" si="28" ref="K54:K62">I54-J54</f>
        <v>96.00900000000001</v>
      </c>
      <c r="L54" s="182">
        <f aca="true" t="shared" si="29" ref="L54:L62">IF(I54&gt;0,LOOKUP(I54,$I$3:$J$14,$L$3:$L$14),0)</f>
        <v>0.1088</v>
      </c>
      <c r="M54" s="178">
        <f aca="true" t="shared" si="30" ref="M54:M62">K54*L54</f>
        <v>10.4457792</v>
      </c>
      <c r="N54" s="178">
        <f aca="true" t="shared" si="31" ref="N54:N62">IF(I54&gt;0,LOOKUP(I54,$I$3:$J$14,$K$3:$K$14),0)</f>
        <v>73.99</v>
      </c>
      <c r="O54" s="179">
        <f aca="true" t="shared" si="32" ref="O54:O62">N54+M54</f>
        <v>84.4357792</v>
      </c>
      <c r="P54" s="180">
        <f aca="true" t="shared" si="33" ref="P54:P62">IF(I54&gt;0,LOOKUP(I54,$I$19:$J$29,$K$19:$K$29),0)</f>
        <v>67.83</v>
      </c>
      <c r="Q54" s="180">
        <f t="shared" si="12"/>
        <v>16.6057792</v>
      </c>
      <c r="R54" s="180">
        <f aca="true" t="shared" si="34" ref="R54:R62">IF(O54&lt;P54,O54-P54,0)</f>
        <v>0</v>
      </c>
      <c r="X54" s="180"/>
      <c r="Y54" s="180"/>
    </row>
    <row r="55" spans="1:25" s="159" customFormat="1" ht="15">
      <c r="A55" s="177"/>
      <c r="B55" s="292" t="str">
        <f>+modsalario2021!B24</f>
        <v>S</v>
      </c>
      <c r="C55" s="181">
        <f>+'1a semana'!T28</f>
        <v>1173.6339999999998</v>
      </c>
      <c r="D55" s="181"/>
      <c r="E55" s="181"/>
      <c r="F55" s="180">
        <f t="shared" si="24"/>
        <v>1173.6339999999998</v>
      </c>
      <c r="G55" s="181">
        <f>+'1a semana'!O28</f>
        <v>0</v>
      </c>
      <c r="H55" s="180">
        <f t="shared" si="25"/>
        <v>1173.6339999999998</v>
      </c>
      <c r="I55" s="180">
        <f t="shared" si="26"/>
        <v>1173.6339999999998</v>
      </c>
      <c r="J55" s="180">
        <f t="shared" si="27"/>
        <v>148.41</v>
      </c>
      <c r="K55" s="180">
        <f t="shared" si="28"/>
        <v>1025.2239999999997</v>
      </c>
      <c r="L55" s="182">
        <f t="shared" si="29"/>
        <v>0.064</v>
      </c>
      <c r="M55" s="178">
        <f t="shared" si="30"/>
        <v>65.61433599999998</v>
      </c>
      <c r="N55" s="178">
        <f t="shared" si="31"/>
        <v>2.87</v>
      </c>
      <c r="O55" s="179">
        <f t="shared" si="32"/>
        <v>68.48433599999998</v>
      </c>
      <c r="P55" s="180">
        <f t="shared" si="33"/>
        <v>74.83</v>
      </c>
      <c r="Q55" s="180">
        <f aca="true" t="shared" si="35" ref="Q55:Q62">IF(O55&gt;P55,O55-P55,0)</f>
        <v>0</v>
      </c>
      <c r="R55" s="180">
        <f t="shared" si="34"/>
        <v>-6.3456640000000135</v>
      </c>
      <c r="X55" s="180"/>
      <c r="Y55" s="180"/>
    </row>
    <row r="56" spans="1:25" s="159" customFormat="1" ht="15">
      <c r="A56" s="177"/>
      <c r="B56" s="292" t="str">
        <f>+modsalario2021!B28</f>
        <v>X</v>
      </c>
      <c r="C56" s="181">
        <f>+'1a semana'!T29</f>
        <v>1097.25</v>
      </c>
      <c r="D56" s="181"/>
      <c r="E56" s="181"/>
      <c r="F56" s="180">
        <f t="shared" si="24"/>
        <v>1097.25</v>
      </c>
      <c r="G56" s="181">
        <f>+'1a semana'!O29</f>
        <v>0</v>
      </c>
      <c r="H56" s="180">
        <f t="shared" si="25"/>
        <v>1097.25</v>
      </c>
      <c r="I56" s="180">
        <f t="shared" si="26"/>
        <v>1097.25</v>
      </c>
      <c r="J56" s="180">
        <f t="shared" si="27"/>
        <v>148.41</v>
      </c>
      <c r="K56" s="180">
        <f t="shared" si="28"/>
        <v>948.84</v>
      </c>
      <c r="L56" s="182">
        <f t="shared" si="29"/>
        <v>0.064</v>
      </c>
      <c r="M56" s="178">
        <f t="shared" si="30"/>
        <v>60.72576</v>
      </c>
      <c r="N56" s="178">
        <f t="shared" si="31"/>
        <v>2.87</v>
      </c>
      <c r="O56" s="179">
        <f t="shared" si="32"/>
        <v>63.59576</v>
      </c>
      <c r="P56" s="180">
        <f t="shared" si="33"/>
        <v>74.83</v>
      </c>
      <c r="Q56" s="180">
        <f t="shared" si="35"/>
        <v>0</v>
      </c>
      <c r="R56" s="180">
        <f t="shared" si="34"/>
        <v>-11.23424</v>
      </c>
      <c r="X56" s="180"/>
      <c r="Y56" s="180"/>
    </row>
    <row r="57" spans="1:25" s="159" customFormat="1" ht="15">
      <c r="A57" s="177"/>
      <c r="B57" s="292" t="str">
        <f>+modsalario2021!B29</f>
        <v>Y</v>
      </c>
      <c r="C57" s="181">
        <f>+'1a semana'!T30</f>
        <v>1097.25</v>
      </c>
      <c r="D57" s="181"/>
      <c r="E57" s="181"/>
      <c r="F57" s="180">
        <f t="shared" si="24"/>
        <v>1097.25</v>
      </c>
      <c r="G57" s="181">
        <f>+'1a semana'!O30</f>
        <v>0</v>
      </c>
      <c r="H57" s="180">
        <f t="shared" si="25"/>
        <v>1097.25</v>
      </c>
      <c r="I57" s="180">
        <f t="shared" si="26"/>
        <v>1097.25</v>
      </c>
      <c r="J57" s="180">
        <f t="shared" si="27"/>
        <v>148.41</v>
      </c>
      <c r="K57" s="180">
        <f t="shared" si="28"/>
        <v>948.84</v>
      </c>
      <c r="L57" s="182">
        <f t="shared" si="29"/>
        <v>0.064</v>
      </c>
      <c r="M57" s="178">
        <f t="shared" si="30"/>
        <v>60.72576</v>
      </c>
      <c r="N57" s="178">
        <f t="shared" si="31"/>
        <v>2.87</v>
      </c>
      <c r="O57" s="179">
        <f t="shared" si="32"/>
        <v>63.59576</v>
      </c>
      <c r="P57" s="180">
        <f t="shared" si="33"/>
        <v>74.83</v>
      </c>
      <c r="Q57" s="180">
        <f t="shared" si="35"/>
        <v>0</v>
      </c>
      <c r="R57" s="180">
        <f t="shared" si="34"/>
        <v>-11.23424</v>
      </c>
      <c r="X57" s="180"/>
      <c r="Y57" s="180"/>
    </row>
    <row r="58" spans="1:25" s="159" customFormat="1" ht="15">
      <c r="A58" s="177"/>
      <c r="B58" s="292" t="str">
        <f>+modsalario2021!B30</f>
        <v>Z</v>
      </c>
      <c r="C58" s="181">
        <f>+'1a semana'!T31</f>
        <v>1097.25</v>
      </c>
      <c r="D58" s="181"/>
      <c r="E58" s="181"/>
      <c r="F58" s="180">
        <f t="shared" si="24"/>
        <v>1097.25</v>
      </c>
      <c r="G58" s="181">
        <f>+'1a semana'!O31</f>
        <v>0</v>
      </c>
      <c r="H58" s="180">
        <f t="shared" si="25"/>
        <v>1097.25</v>
      </c>
      <c r="I58" s="180">
        <f t="shared" si="26"/>
        <v>1097.25</v>
      </c>
      <c r="J58" s="180">
        <f t="shared" si="27"/>
        <v>148.41</v>
      </c>
      <c r="K58" s="180">
        <f t="shared" si="28"/>
        <v>948.84</v>
      </c>
      <c r="L58" s="182">
        <f t="shared" si="29"/>
        <v>0.064</v>
      </c>
      <c r="M58" s="178">
        <f t="shared" si="30"/>
        <v>60.72576</v>
      </c>
      <c r="N58" s="178">
        <f t="shared" si="31"/>
        <v>2.87</v>
      </c>
      <c r="O58" s="179">
        <f t="shared" si="32"/>
        <v>63.59576</v>
      </c>
      <c r="P58" s="180">
        <f t="shared" si="33"/>
        <v>74.83</v>
      </c>
      <c r="Q58" s="180">
        <f t="shared" si="35"/>
        <v>0</v>
      </c>
      <c r="R58" s="180">
        <f t="shared" si="34"/>
        <v>-11.23424</v>
      </c>
      <c r="X58" s="180"/>
      <c r="Y58" s="180"/>
    </row>
    <row r="59" spans="1:25" s="159" customFormat="1" ht="15">
      <c r="A59" s="177"/>
      <c r="B59" s="292" t="str">
        <f>+modsalario2021!B32</f>
        <v>AB</v>
      </c>
      <c r="C59" s="181">
        <f>+'1a semana'!T32</f>
        <v>1097.25</v>
      </c>
      <c r="D59" s="181"/>
      <c r="E59" s="181"/>
      <c r="F59" s="180">
        <f t="shared" si="24"/>
        <v>1097.25</v>
      </c>
      <c r="G59" s="181">
        <f>+'1a semana'!O32</f>
        <v>0</v>
      </c>
      <c r="H59" s="180">
        <f t="shared" si="25"/>
        <v>1097.25</v>
      </c>
      <c r="I59" s="180">
        <f t="shared" si="26"/>
        <v>1097.25</v>
      </c>
      <c r="J59" s="180">
        <f t="shared" si="27"/>
        <v>148.41</v>
      </c>
      <c r="K59" s="180">
        <f t="shared" si="28"/>
        <v>948.84</v>
      </c>
      <c r="L59" s="182">
        <f t="shared" si="29"/>
        <v>0.064</v>
      </c>
      <c r="M59" s="178">
        <f t="shared" si="30"/>
        <v>60.72576</v>
      </c>
      <c r="N59" s="178">
        <f t="shared" si="31"/>
        <v>2.87</v>
      </c>
      <c r="O59" s="179">
        <f t="shared" si="32"/>
        <v>63.59576</v>
      </c>
      <c r="P59" s="180">
        <f t="shared" si="33"/>
        <v>74.83</v>
      </c>
      <c r="Q59" s="180">
        <f t="shared" si="35"/>
        <v>0</v>
      </c>
      <c r="R59" s="180">
        <f t="shared" si="34"/>
        <v>-11.23424</v>
      </c>
      <c r="X59" s="180"/>
      <c r="Y59" s="180"/>
    </row>
    <row r="60" spans="1:25" s="159" customFormat="1" ht="15">
      <c r="A60" s="177"/>
      <c r="B60" s="292" t="str">
        <f>+modsalario2021!B34</f>
        <v>AD</v>
      </c>
      <c r="C60" s="181">
        <f>+'1a semana'!T33</f>
        <v>997.5</v>
      </c>
      <c r="D60" s="181"/>
      <c r="E60" s="181"/>
      <c r="F60" s="180">
        <f t="shared" si="24"/>
        <v>997.5</v>
      </c>
      <c r="G60" s="181">
        <f>+'1a semana'!O33</f>
        <v>0</v>
      </c>
      <c r="H60" s="180">
        <f t="shared" si="25"/>
        <v>997.5</v>
      </c>
      <c r="I60" s="180">
        <f t="shared" si="26"/>
        <v>997.5</v>
      </c>
      <c r="J60" s="180">
        <f t="shared" si="27"/>
        <v>148.41</v>
      </c>
      <c r="K60" s="180">
        <f t="shared" si="28"/>
        <v>849.09</v>
      </c>
      <c r="L60" s="182">
        <f t="shared" si="29"/>
        <v>0.064</v>
      </c>
      <c r="M60" s="178">
        <f t="shared" si="30"/>
        <v>54.34176</v>
      </c>
      <c r="N60" s="178">
        <f t="shared" si="31"/>
        <v>2.87</v>
      </c>
      <c r="O60" s="179">
        <f t="shared" si="32"/>
        <v>57.21176</v>
      </c>
      <c r="P60" s="180">
        <f t="shared" si="33"/>
        <v>88.06</v>
      </c>
      <c r="Q60" s="180">
        <f t="shared" si="35"/>
        <v>0</v>
      </c>
      <c r="R60" s="180">
        <f t="shared" si="34"/>
        <v>-30.848240000000004</v>
      </c>
      <c r="X60" s="180"/>
      <c r="Y60" s="180"/>
    </row>
    <row r="61" spans="1:25" s="159" customFormat="1" ht="15">
      <c r="A61" s="177"/>
      <c r="B61" s="292" t="str">
        <f>+modsalario2021!B35</f>
        <v>AC</v>
      </c>
      <c r="C61" s="181">
        <f>+'1a semana'!T34</f>
        <v>997.5</v>
      </c>
      <c r="D61" s="181"/>
      <c r="E61" s="181"/>
      <c r="F61" s="180">
        <f t="shared" si="24"/>
        <v>997.5</v>
      </c>
      <c r="G61" s="181">
        <f>+'1a semana'!O34</f>
        <v>0</v>
      </c>
      <c r="H61" s="180">
        <f t="shared" si="25"/>
        <v>997.5</v>
      </c>
      <c r="I61" s="180">
        <f t="shared" si="26"/>
        <v>997.5</v>
      </c>
      <c r="J61" s="180">
        <f t="shared" si="27"/>
        <v>148.41</v>
      </c>
      <c r="K61" s="180">
        <f t="shared" si="28"/>
        <v>849.09</v>
      </c>
      <c r="L61" s="182">
        <f t="shared" si="29"/>
        <v>0.064</v>
      </c>
      <c r="M61" s="178">
        <f t="shared" si="30"/>
        <v>54.34176</v>
      </c>
      <c r="N61" s="178">
        <f t="shared" si="31"/>
        <v>2.87</v>
      </c>
      <c r="O61" s="179">
        <f t="shared" si="32"/>
        <v>57.21176</v>
      </c>
      <c r="P61" s="180">
        <f t="shared" si="33"/>
        <v>88.06</v>
      </c>
      <c r="Q61" s="180">
        <f t="shared" si="35"/>
        <v>0</v>
      </c>
      <c r="R61" s="180">
        <f t="shared" si="34"/>
        <v>-30.848240000000004</v>
      </c>
      <c r="X61" s="180"/>
      <c r="Y61" s="180"/>
    </row>
    <row r="62" spans="1:25" s="159" customFormat="1" ht="15">
      <c r="A62" s="177"/>
      <c r="B62" s="292"/>
      <c r="C62" s="181"/>
      <c r="D62" s="181"/>
      <c r="E62" s="181"/>
      <c r="F62" s="180">
        <f t="shared" si="24"/>
        <v>0</v>
      </c>
      <c r="G62" s="181">
        <f>+'1a semana'!O35</f>
        <v>2277.654</v>
      </c>
      <c r="H62" s="180">
        <f t="shared" si="25"/>
        <v>-2277.654</v>
      </c>
      <c r="I62" s="180">
        <f t="shared" si="26"/>
        <v>-2277.654</v>
      </c>
      <c r="J62" s="180">
        <f t="shared" si="27"/>
        <v>0</v>
      </c>
      <c r="K62" s="180">
        <f t="shared" si="28"/>
        <v>-2277.654</v>
      </c>
      <c r="L62" s="182">
        <f t="shared" si="29"/>
        <v>0</v>
      </c>
      <c r="M62" s="178">
        <f t="shared" si="30"/>
        <v>0</v>
      </c>
      <c r="N62" s="178">
        <f t="shared" si="31"/>
        <v>0</v>
      </c>
      <c r="O62" s="179">
        <f t="shared" si="32"/>
        <v>0</v>
      </c>
      <c r="P62" s="180">
        <f t="shared" si="33"/>
        <v>0</v>
      </c>
      <c r="Q62" s="180">
        <f t="shared" si="35"/>
        <v>0</v>
      </c>
      <c r="R62" s="180">
        <f t="shared" si="34"/>
        <v>0</v>
      </c>
      <c r="X62" s="180"/>
      <c r="Y62" s="180"/>
    </row>
    <row r="63" spans="1:25" s="159" customFormat="1" ht="15">
      <c r="A63" s="177"/>
      <c r="B63" s="292"/>
      <c r="C63" s="181"/>
      <c r="D63" s="181"/>
      <c r="E63" s="181"/>
      <c r="F63" s="180"/>
      <c r="G63" s="181"/>
      <c r="H63" s="180"/>
      <c r="I63" s="180"/>
      <c r="J63" s="180"/>
      <c r="K63" s="180"/>
      <c r="L63" s="182"/>
      <c r="M63" s="178"/>
      <c r="N63" s="178"/>
      <c r="O63" s="179"/>
      <c r="P63" s="180"/>
      <c r="Q63" s="180"/>
      <c r="R63" s="180"/>
      <c r="X63" s="180"/>
      <c r="Y63" s="180"/>
    </row>
    <row r="64" spans="1:25" s="159" customFormat="1" ht="15">
      <c r="A64" s="177"/>
      <c r="B64" s="292"/>
      <c r="C64" s="181">
        <f aca="true" t="shared" si="36" ref="C64:H64">SUM(C34:C63)</f>
        <v>36752.081999999995</v>
      </c>
      <c r="D64" s="181">
        <f t="shared" si="36"/>
        <v>0</v>
      </c>
      <c r="E64" s="181">
        <f t="shared" si="36"/>
        <v>0</v>
      </c>
      <c r="F64" s="181">
        <f t="shared" si="36"/>
        <v>36752.081999999995</v>
      </c>
      <c r="G64" s="181">
        <f t="shared" si="36"/>
        <v>4555.308</v>
      </c>
      <c r="H64" s="181">
        <f t="shared" si="36"/>
        <v>32196.773999999994</v>
      </c>
      <c r="I64" s="180"/>
      <c r="J64" s="180"/>
      <c r="K64" s="180"/>
      <c r="L64" s="182"/>
      <c r="M64" s="178"/>
      <c r="N64" s="178"/>
      <c r="O64" s="179"/>
      <c r="P64" s="180"/>
      <c r="Q64" s="181">
        <f>SUM(Q34:Q63)</f>
        <v>485.3065792</v>
      </c>
      <c r="R64" s="181">
        <f>SUM(R34:R63)</f>
        <v>-167.1759040000001</v>
      </c>
      <c r="X64" s="180"/>
      <c r="Y64" s="180"/>
    </row>
    <row r="65" spans="1:25" s="159" customFormat="1" ht="15">
      <c r="A65" s="177"/>
      <c r="B65" s="292"/>
      <c r="C65" s="181"/>
      <c r="D65" s="181"/>
      <c r="E65" s="181"/>
      <c r="F65" s="180">
        <f>F64-G64</f>
        <v>32196.773999999994</v>
      </c>
      <c r="G65" s="181"/>
      <c r="H65" s="180"/>
      <c r="I65" s="180"/>
      <c r="J65" s="180"/>
      <c r="K65" s="180"/>
      <c r="L65" s="182"/>
      <c r="M65" s="178"/>
      <c r="N65" s="178"/>
      <c r="O65" s="179"/>
      <c r="P65" s="180"/>
      <c r="Q65" s="180"/>
      <c r="R65" s="180"/>
      <c r="X65" s="180"/>
      <c r="Y65" s="180"/>
    </row>
    <row r="66" spans="1:24" ht="15">
      <c r="A66" s="177"/>
      <c r="B66" s="292"/>
      <c r="C66" s="180"/>
      <c r="D66" s="181"/>
      <c r="E66" s="181"/>
      <c r="F66" s="172"/>
      <c r="G66" s="173"/>
      <c r="H66" s="172"/>
      <c r="I66" s="180"/>
      <c r="J66" s="172"/>
      <c r="K66" s="172"/>
      <c r="L66" s="174"/>
      <c r="M66" s="178"/>
      <c r="N66" s="178"/>
      <c r="O66" s="179"/>
      <c r="P66" s="172"/>
      <c r="Q66" s="172"/>
      <c r="R66" s="172"/>
      <c r="X66" s="172"/>
    </row>
    <row r="67" spans="1:24" ht="15">
      <c r="A67" s="177"/>
      <c r="B67" s="292"/>
      <c r="C67" s="180"/>
      <c r="D67" s="181"/>
      <c r="E67" s="181"/>
      <c r="F67" s="172"/>
      <c r="G67" s="173"/>
      <c r="H67" s="172"/>
      <c r="I67" s="180"/>
      <c r="J67" s="172"/>
      <c r="K67" s="172"/>
      <c r="L67" s="174"/>
      <c r="M67" s="178"/>
      <c r="N67" s="178"/>
      <c r="O67" s="179"/>
      <c r="P67" s="172"/>
      <c r="Q67" s="172"/>
      <c r="R67" s="172"/>
      <c r="X67" s="172"/>
    </row>
    <row r="68" spans="1:24" s="159" customFormat="1" ht="15">
      <c r="A68" s="177"/>
      <c r="B68" s="292"/>
      <c r="C68" s="180"/>
      <c r="D68" s="181"/>
      <c r="E68" s="181"/>
      <c r="F68" s="180"/>
      <c r="G68" s="181"/>
      <c r="H68" s="180"/>
      <c r="I68" s="180"/>
      <c r="J68" s="180"/>
      <c r="K68" s="180"/>
      <c r="L68" s="182"/>
      <c r="M68" s="178"/>
      <c r="N68" s="178"/>
      <c r="O68" s="179"/>
      <c r="P68" s="180"/>
      <c r="Q68" s="180"/>
      <c r="R68" s="180"/>
      <c r="X68" s="180"/>
    </row>
    <row r="69" spans="1:24" s="159" customFormat="1" ht="15">
      <c r="A69" s="177"/>
      <c r="B69" s="292"/>
      <c r="C69" s="180"/>
      <c r="D69" s="181"/>
      <c r="E69" s="181"/>
      <c r="F69" s="180"/>
      <c r="G69" s="181"/>
      <c r="H69" s="180"/>
      <c r="I69" s="180"/>
      <c r="J69" s="180"/>
      <c r="K69" s="180"/>
      <c r="L69" s="182"/>
      <c r="M69" s="178"/>
      <c r="N69" s="178"/>
      <c r="O69" s="179"/>
      <c r="P69" s="180"/>
      <c r="Q69" s="180"/>
      <c r="R69" s="180"/>
      <c r="X69" s="180"/>
    </row>
    <row r="70" spans="1:24" s="159" customFormat="1" ht="15">
      <c r="A70" s="177"/>
      <c r="B70" s="292"/>
      <c r="C70" s="180"/>
      <c r="D70" s="181"/>
      <c r="E70" s="181"/>
      <c r="F70" s="180"/>
      <c r="G70" s="181"/>
      <c r="H70" s="180"/>
      <c r="I70" s="180"/>
      <c r="J70" s="180"/>
      <c r="K70" s="180"/>
      <c r="L70" s="182"/>
      <c r="M70" s="178"/>
      <c r="N70" s="178"/>
      <c r="O70" s="179"/>
      <c r="P70" s="180"/>
      <c r="Q70" s="180"/>
      <c r="R70" s="180"/>
      <c r="X70" s="180"/>
    </row>
    <row r="71" spans="1:24" s="159" customFormat="1" ht="15">
      <c r="A71" s="177"/>
      <c r="B71" s="292"/>
      <c r="C71" s="180"/>
      <c r="D71" s="181"/>
      <c r="E71" s="181"/>
      <c r="F71" s="180"/>
      <c r="G71" s="181"/>
      <c r="H71" s="180"/>
      <c r="I71" s="180"/>
      <c r="J71" s="180"/>
      <c r="K71" s="180"/>
      <c r="L71" s="182"/>
      <c r="M71" s="178"/>
      <c r="N71" s="178"/>
      <c r="O71" s="179"/>
      <c r="P71" s="180"/>
      <c r="Q71" s="180"/>
      <c r="R71" s="180"/>
      <c r="X71" s="180"/>
    </row>
    <row r="72" spans="1:24" s="159" customFormat="1" ht="15">
      <c r="A72" s="177"/>
      <c r="B72" s="292"/>
      <c r="C72" s="180"/>
      <c r="D72" s="181"/>
      <c r="E72" s="181"/>
      <c r="F72" s="180"/>
      <c r="G72" s="181"/>
      <c r="H72" s="180"/>
      <c r="I72" s="180"/>
      <c r="J72" s="180"/>
      <c r="K72" s="180"/>
      <c r="L72" s="182"/>
      <c r="M72" s="178"/>
      <c r="N72" s="178"/>
      <c r="O72" s="179"/>
      <c r="P72" s="180"/>
      <c r="Q72" s="180"/>
      <c r="R72" s="180"/>
      <c r="X72" s="180"/>
    </row>
    <row r="73" spans="1:24" ht="15">
      <c r="A73" s="177"/>
      <c r="B73" s="292"/>
      <c r="C73" s="180"/>
      <c r="D73" s="181"/>
      <c r="E73" s="181"/>
      <c r="F73" s="172"/>
      <c r="G73" s="173"/>
      <c r="H73" s="172"/>
      <c r="I73" s="180"/>
      <c r="J73" s="180"/>
      <c r="K73" s="180"/>
      <c r="L73" s="182"/>
      <c r="M73" s="178"/>
      <c r="N73" s="178"/>
      <c r="O73" s="179"/>
      <c r="P73" s="180"/>
      <c r="Q73" s="180"/>
      <c r="R73" s="180"/>
      <c r="S73" s="172"/>
      <c r="T73" s="180"/>
      <c r="U73" s="180"/>
      <c r="V73" s="180"/>
      <c r="W73" s="180"/>
      <c r="X73" s="172"/>
    </row>
    <row r="74" spans="1:24" s="159" customFormat="1" ht="15">
      <c r="A74" s="177"/>
      <c r="B74" s="292"/>
      <c r="C74" s="180"/>
      <c r="D74" s="181"/>
      <c r="E74" s="181"/>
      <c r="F74" s="180"/>
      <c r="G74" s="181"/>
      <c r="H74" s="180"/>
      <c r="I74" s="180"/>
      <c r="J74" s="180"/>
      <c r="K74" s="180"/>
      <c r="L74" s="182"/>
      <c r="M74" s="178"/>
      <c r="N74" s="178"/>
      <c r="O74" s="179"/>
      <c r="P74" s="180"/>
      <c r="Q74" s="180"/>
      <c r="R74" s="180"/>
      <c r="S74" s="180"/>
      <c r="T74" s="180"/>
      <c r="U74" s="180"/>
      <c r="V74" s="180"/>
      <c r="W74" s="180"/>
      <c r="X74" s="180"/>
    </row>
    <row r="75" spans="1:24" ht="31.5">
      <c r="A75" s="177"/>
      <c r="B75" s="292"/>
      <c r="C75" s="180"/>
      <c r="D75" s="181"/>
      <c r="E75" s="181"/>
      <c r="F75" s="165"/>
      <c r="G75" s="169" t="s">
        <v>90</v>
      </c>
      <c r="H75" s="165"/>
      <c r="I75" s="165"/>
      <c r="J75" s="182"/>
      <c r="K75" s="165"/>
      <c r="L75" s="165"/>
      <c r="M75" s="165"/>
      <c r="N75" s="165"/>
      <c r="O75" s="165"/>
      <c r="P75" s="165"/>
      <c r="Q75" s="180">
        <f>SUM(Q34:Q51)</f>
        <v>468.70079999999996</v>
      </c>
      <c r="R75" s="180">
        <f>SUM(R34:R51)</f>
        <v>-36.61689600000004</v>
      </c>
      <c r="X75" s="172"/>
    </row>
    <row r="76" spans="1:24" ht="15">
      <c r="A76" s="177" t="s">
        <v>106</v>
      </c>
      <c r="B76" s="292" t="s">
        <v>107</v>
      </c>
      <c r="C76" s="180" t="s">
        <v>292</v>
      </c>
      <c r="D76" s="181" t="s">
        <v>296</v>
      </c>
      <c r="E76" s="181" t="s">
        <v>148</v>
      </c>
      <c r="F76" s="165" t="s">
        <v>108</v>
      </c>
      <c r="G76" s="165" t="s">
        <v>109</v>
      </c>
      <c r="H76" s="183" t="s">
        <v>110</v>
      </c>
      <c r="I76" s="165" t="s">
        <v>111</v>
      </c>
      <c r="J76" s="182" t="s">
        <v>99</v>
      </c>
      <c r="K76" s="165" t="s">
        <v>112</v>
      </c>
      <c r="L76" s="165" t="s">
        <v>113</v>
      </c>
      <c r="M76" s="165" t="s">
        <v>114</v>
      </c>
      <c r="N76" s="165" t="s">
        <v>101</v>
      </c>
      <c r="O76" s="165" t="s">
        <v>115</v>
      </c>
      <c r="P76" s="165" t="s">
        <v>116</v>
      </c>
      <c r="Q76" s="159" t="s">
        <v>115</v>
      </c>
      <c r="R76" s="180"/>
      <c r="T76" s="159" t="s">
        <v>229</v>
      </c>
      <c r="U76" s="172" t="s">
        <v>230</v>
      </c>
      <c r="V76" s="180"/>
      <c r="W76" s="180"/>
      <c r="X76" s="158" t="s">
        <v>117</v>
      </c>
    </row>
    <row r="77" spans="1:23" ht="15">
      <c r="A77" s="329"/>
      <c r="B77" s="329"/>
      <c r="C77" s="165"/>
      <c r="D77" s="165"/>
      <c r="E77" s="165"/>
      <c r="F77" s="165"/>
      <c r="G77" s="165"/>
      <c r="H77" s="165"/>
      <c r="I77" s="165"/>
      <c r="J77" s="182"/>
      <c r="K77" s="165"/>
      <c r="L77" s="165"/>
      <c r="M77" s="165"/>
      <c r="N77" s="165"/>
      <c r="O77" s="165"/>
      <c r="P77" s="165"/>
      <c r="Q77" s="159"/>
      <c r="U77" s="172"/>
      <c r="V77" s="180"/>
      <c r="W77" s="180"/>
    </row>
    <row r="78" spans="1:23" ht="15">
      <c r="A78" s="177" t="b">
        <f aca="true" t="shared" si="37" ref="A78:A105">B34=B78</f>
        <v>1</v>
      </c>
      <c r="B78" s="292" t="str">
        <f>+modsalario2021!B4</f>
        <v>A</v>
      </c>
      <c r="C78" s="180">
        <f aca="true" t="shared" si="38" ref="C78:C105">+C34</f>
        <v>1355.739</v>
      </c>
      <c r="D78" s="181">
        <f>+'4a semana'!S7</f>
        <v>1355.739</v>
      </c>
      <c r="E78" s="181">
        <v>0</v>
      </c>
      <c r="F78" s="180">
        <f>(C78+D78)*2</f>
        <v>5422.956</v>
      </c>
      <c r="G78" s="181">
        <f aca="true" t="shared" si="39" ref="G78:G97">+G34</f>
        <v>0</v>
      </c>
      <c r="H78" s="184">
        <f>F78-G78</f>
        <v>5422.956</v>
      </c>
      <c r="I78" s="180">
        <f>H78</f>
        <v>5422.956</v>
      </c>
      <c r="J78" s="172">
        <f>IF(I78&gt;0,LOOKUP(I78,$B$3:$C$13,$B$3:$B$13),0)</f>
        <v>644.59</v>
      </c>
      <c r="K78" s="172">
        <f>I78-J78</f>
        <v>4778.366</v>
      </c>
      <c r="L78" s="174">
        <f aca="true" t="shared" si="40" ref="L78:L90">IF(I78&gt;0,LOOKUP(I78,$B$3:$C$11,$E$3:$E$11),0)</f>
        <v>0.064</v>
      </c>
      <c r="M78" s="178">
        <f>K78*L78</f>
        <v>305.815424</v>
      </c>
      <c r="N78" s="178">
        <f>IF(I78&gt;0,LOOKUP(I78,$B$3:$C$13,$D$3:$D$13),0)</f>
        <v>12.38</v>
      </c>
      <c r="O78" s="179">
        <f>N78+M78</f>
        <v>318.195424</v>
      </c>
      <c r="P78" s="172">
        <f>IF(I78&gt;0,LOOKUP(I78,$B$18:$C$28,$D$18:$D$28),0)</f>
        <v>294.63</v>
      </c>
      <c r="Q78" s="172">
        <f>IF(O78&gt;P78,O78-P78,0)</f>
        <v>23.565424000000007</v>
      </c>
      <c r="R78" s="172">
        <f aca="true" t="shared" si="41" ref="R78:R85">IF(O78&lt;P78,O78-P78,0)</f>
        <v>0</v>
      </c>
      <c r="S78" s="180"/>
      <c r="T78" s="172">
        <f aca="true" t="shared" si="42" ref="T78:T105">+Q34</f>
        <v>16.6057792</v>
      </c>
      <c r="U78" s="172">
        <v>3</v>
      </c>
      <c r="V78" s="172">
        <f>+T78*U78</f>
        <v>49.8173376</v>
      </c>
      <c r="W78" s="180">
        <f>+Q78-V78</f>
        <v>-26.251913599999995</v>
      </c>
    </row>
    <row r="79" spans="1:24" ht="15">
      <c r="A79" s="177" t="b">
        <f t="shared" si="37"/>
        <v>1</v>
      </c>
      <c r="B79" s="292" t="str">
        <f>+modsalario2021!B5</f>
        <v>B</v>
      </c>
      <c r="C79" s="180">
        <f t="shared" si="38"/>
        <v>1355.739</v>
      </c>
      <c r="D79" s="181">
        <f>+'4a semana'!S8</f>
        <v>1355.739</v>
      </c>
      <c r="E79" s="181">
        <v>0</v>
      </c>
      <c r="F79" s="180">
        <f aca="true" t="shared" si="43" ref="F79:F106">(C79+D79)*2</f>
        <v>5422.956</v>
      </c>
      <c r="G79" s="181">
        <f t="shared" si="39"/>
        <v>0</v>
      </c>
      <c r="H79" s="184">
        <f aca="true" t="shared" si="44" ref="H79:H85">F79-G79</f>
        <v>5422.956</v>
      </c>
      <c r="I79" s="180">
        <f aca="true" t="shared" si="45" ref="I79:I85">H79</f>
        <v>5422.956</v>
      </c>
      <c r="J79" s="172">
        <f aca="true" t="shared" si="46" ref="J79:J85">IF(I79&gt;0,LOOKUP(I79,$B$3:$C$13,$B$3:$B$13),0)</f>
        <v>644.59</v>
      </c>
      <c r="K79" s="172">
        <f aca="true" t="shared" si="47" ref="K79:K85">I79-J79</f>
        <v>4778.366</v>
      </c>
      <c r="L79" s="174">
        <f t="shared" si="40"/>
        <v>0.064</v>
      </c>
      <c r="M79" s="178">
        <f aca="true" t="shared" si="48" ref="M79:M85">K79*L79</f>
        <v>305.815424</v>
      </c>
      <c r="N79" s="178">
        <f aca="true" t="shared" si="49" ref="N79:N85">IF(I79&gt;0,LOOKUP(I79,$B$3:$C$13,$D$3:$D$13),0)</f>
        <v>12.38</v>
      </c>
      <c r="O79" s="179">
        <f aca="true" t="shared" si="50" ref="O79:O85">N79+M79</f>
        <v>318.195424</v>
      </c>
      <c r="P79" s="172">
        <f aca="true" t="shared" si="51" ref="P79:P85">IF(I79&gt;0,LOOKUP(I79,$B$18:$C$28,$D$18:$D$28),0)</f>
        <v>294.63</v>
      </c>
      <c r="Q79" s="172">
        <f aca="true" t="shared" si="52" ref="Q79:Q85">IF(O79&gt;P79,O79-P79,0)</f>
        <v>23.565424000000007</v>
      </c>
      <c r="R79" s="172">
        <f t="shared" si="41"/>
        <v>0</v>
      </c>
      <c r="S79" s="180"/>
      <c r="T79" s="180">
        <f t="shared" si="42"/>
        <v>16.6057792</v>
      </c>
      <c r="U79" s="180">
        <v>0</v>
      </c>
      <c r="V79" s="180"/>
      <c r="W79" s="180"/>
      <c r="X79" s="180">
        <f>+R35</f>
        <v>0</v>
      </c>
    </row>
    <row r="80" spans="1:25" ht="15">
      <c r="A80" s="177" t="b">
        <f t="shared" si="37"/>
        <v>1</v>
      </c>
      <c r="B80" s="292" t="str">
        <f>+modsalario2021!B6</f>
        <v>C</v>
      </c>
      <c r="C80" s="180">
        <f t="shared" si="38"/>
        <v>0</v>
      </c>
      <c r="D80" s="181">
        <f>+'4a semana'!S9</f>
        <v>0</v>
      </c>
      <c r="E80" s="181">
        <v>0</v>
      </c>
      <c r="F80" s="180">
        <f t="shared" si="43"/>
        <v>0</v>
      </c>
      <c r="G80" s="181">
        <f t="shared" si="39"/>
        <v>0</v>
      </c>
      <c r="H80" s="184">
        <f t="shared" si="44"/>
        <v>0</v>
      </c>
      <c r="I80" s="180">
        <f t="shared" si="45"/>
        <v>0</v>
      </c>
      <c r="J80" s="172">
        <f t="shared" si="46"/>
        <v>0</v>
      </c>
      <c r="K80" s="172">
        <f t="shared" si="47"/>
        <v>0</v>
      </c>
      <c r="L80" s="174">
        <f t="shared" si="40"/>
        <v>0</v>
      </c>
      <c r="M80" s="178">
        <f t="shared" si="48"/>
        <v>0</v>
      </c>
      <c r="N80" s="178">
        <f t="shared" si="49"/>
        <v>0</v>
      </c>
      <c r="O80" s="179">
        <f t="shared" si="50"/>
        <v>0</v>
      </c>
      <c r="P80" s="172">
        <f t="shared" si="51"/>
        <v>0</v>
      </c>
      <c r="Q80" s="172">
        <f t="shared" si="52"/>
        <v>0</v>
      </c>
      <c r="R80" s="172">
        <f t="shared" si="41"/>
        <v>0</v>
      </c>
      <c r="S80" s="180"/>
      <c r="T80" s="180">
        <f t="shared" si="42"/>
        <v>0</v>
      </c>
      <c r="U80" s="180">
        <v>0</v>
      </c>
      <c r="V80" s="180"/>
      <c r="W80" s="180"/>
      <c r="X80" s="180">
        <f>+R36</f>
        <v>0</v>
      </c>
      <c r="Y80" s="180">
        <f>R80-U80</f>
        <v>0</v>
      </c>
    </row>
    <row r="81" spans="1:24" ht="15">
      <c r="A81" s="177" t="b">
        <f t="shared" si="37"/>
        <v>1</v>
      </c>
      <c r="B81" s="292" t="str">
        <f>+modsalario2021!B7</f>
        <v>D</v>
      </c>
      <c r="C81" s="180">
        <f t="shared" si="38"/>
        <v>1355.739</v>
      </c>
      <c r="D81" s="181">
        <f>+'4a semana'!S10</f>
        <v>1355.739</v>
      </c>
      <c r="E81" s="181">
        <v>0</v>
      </c>
      <c r="F81" s="180">
        <f t="shared" si="43"/>
        <v>5422.956</v>
      </c>
      <c r="G81" s="181">
        <f t="shared" si="39"/>
        <v>0</v>
      </c>
      <c r="H81" s="184">
        <f t="shared" si="44"/>
        <v>5422.956</v>
      </c>
      <c r="I81" s="180">
        <f t="shared" si="45"/>
        <v>5422.956</v>
      </c>
      <c r="J81" s="172">
        <f t="shared" si="46"/>
        <v>644.59</v>
      </c>
      <c r="K81" s="172">
        <f t="shared" si="47"/>
        <v>4778.366</v>
      </c>
      <c r="L81" s="174">
        <f t="shared" si="40"/>
        <v>0.064</v>
      </c>
      <c r="M81" s="178">
        <f t="shared" si="48"/>
        <v>305.815424</v>
      </c>
      <c r="N81" s="178">
        <f t="shared" si="49"/>
        <v>12.38</v>
      </c>
      <c r="O81" s="179">
        <f t="shared" si="50"/>
        <v>318.195424</v>
      </c>
      <c r="P81" s="172">
        <f t="shared" si="51"/>
        <v>294.63</v>
      </c>
      <c r="Q81" s="172">
        <f t="shared" si="52"/>
        <v>23.565424000000007</v>
      </c>
      <c r="R81" s="172">
        <f t="shared" si="41"/>
        <v>0</v>
      </c>
      <c r="S81" s="180"/>
      <c r="T81" s="180">
        <f t="shared" si="42"/>
        <v>16.6057792</v>
      </c>
      <c r="U81" s="180">
        <v>0</v>
      </c>
      <c r="V81" s="180"/>
      <c r="W81" s="180"/>
      <c r="X81" s="180">
        <f>+R37</f>
        <v>0</v>
      </c>
    </row>
    <row r="82" spans="1:25" ht="15">
      <c r="A82" s="177" t="b">
        <f t="shared" si="37"/>
        <v>1</v>
      </c>
      <c r="B82" s="292" t="str">
        <f>+modsalario2021!B8</f>
        <v>E</v>
      </c>
      <c r="C82" s="180">
        <f t="shared" si="38"/>
        <v>2041.1999999999998</v>
      </c>
      <c r="D82" s="181">
        <f>+'4a semana'!S11</f>
        <v>1247.4</v>
      </c>
      <c r="E82" s="181">
        <v>0</v>
      </c>
      <c r="F82" s="180">
        <f t="shared" si="43"/>
        <v>6577.2</v>
      </c>
      <c r="G82" s="181">
        <f t="shared" si="39"/>
        <v>680.4</v>
      </c>
      <c r="H82" s="184">
        <f t="shared" si="44"/>
        <v>5896.8</v>
      </c>
      <c r="I82" s="180">
        <f t="shared" si="45"/>
        <v>5896.8</v>
      </c>
      <c r="J82" s="172">
        <f t="shared" si="46"/>
        <v>5470.93</v>
      </c>
      <c r="K82" s="172">
        <f t="shared" si="47"/>
        <v>425.8699999999999</v>
      </c>
      <c r="L82" s="174">
        <f t="shared" si="40"/>
        <v>0.1088</v>
      </c>
      <c r="M82" s="178">
        <f t="shared" si="48"/>
        <v>46.33465599999999</v>
      </c>
      <c r="N82" s="178">
        <f t="shared" si="49"/>
        <v>321.26</v>
      </c>
      <c r="O82" s="179">
        <f t="shared" si="50"/>
        <v>367.594656</v>
      </c>
      <c r="P82" s="172">
        <f t="shared" si="51"/>
        <v>294.63</v>
      </c>
      <c r="Q82" s="172">
        <f t="shared" si="52"/>
        <v>72.96465599999999</v>
      </c>
      <c r="R82" s="172">
        <f t="shared" si="41"/>
        <v>0</v>
      </c>
      <c r="S82" s="180"/>
      <c r="T82" s="180">
        <f t="shared" si="42"/>
        <v>17.156415999999965</v>
      </c>
      <c r="U82" s="180">
        <v>0</v>
      </c>
      <c r="V82" s="180"/>
      <c r="W82" s="180"/>
      <c r="X82" s="180">
        <f>+R38</f>
        <v>0</v>
      </c>
      <c r="Y82" s="172">
        <v>0</v>
      </c>
    </row>
    <row r="83" spans="1:25" ht="15">
      <c r="A83" s="177" t="b">
        <f t="shared" si="37"/>
        <v>1</v>
      </c>
      <c r="B83" s="292" t="str">
        <f>+modsalario2021!B9</f>
        <v>F</v>
      </c>
      <c r="C83" s="180">
        <f t="shared" si="38"/>
        <v>1355.739</v>
      </c>
      <c r="D83" s="181">
        <f>+'4a semana'!S12</f>
        <v>1355.739</v>
      </c>
      <c r="E83" s="181">
        <v>0</v>
      </c>
      <c r="F83" s="180">
        <f t="shared" si="43"/>
        <v>5422.956</v>
      </c>
      <c r="G83" s="181">
        <f t="shared" si="39"/>
        <v>0</v>
      </c>
      <c r="H83" s="184">
        <f t="shared" si="44"/>
        <v>5422.956</v>
      </c>
      <c r="I83" s="180">
        <f t="shared" si="45"/>
        <v>5422.956</v>
      </c>
      <c r="J83" s="172">
        <f t="shared" si="46"/>
        <v>644.59</v>
      </c>
      <c r="K83" s="172">
        <f t="shared" si="47"/>
        <v>4778.366</v>
      </c>
      <c r="L83" s="174">
        <f t="shared" si="40"/>
        <v>0.064</v>
      </c>
      <c r="M83" s="178">
        <f t="shared" si="48"/>
        <v>305.815424</v>
      </c>
      <c r="N83" s="178">
        <f t="shared" si="49"/>
        <v>12.38</v>
      </c>
      <c r="O83" s="179">
        <f t="shared" si="50"/>
        <v>318.195424</v>
      </c>
      <c r="P83" s="172">
        <f t="shared" si="51"/>
        <v>294.63</v>
      </c>
      <c r="Q83" s="172">
        <f t="shared" si="52"/>
        <v>23.565424000000007</v>
      </c>
      <c r="R83" s="172">
        <f t="shared" si="41"/>
        <v>0</v>
      </c>
      <c r="S83" s="180"/>
      <c r="T83" s="180">
        <f t="shared" si="42"/>
        <v>16.6057792</v>
      </c>
      <c r="U83" s="180">
        <v>0</v>
      </c>
      <c r="V83" s="180"/>
      <c r="W83" s="180"/>
      <c r="X83" s="180">
        <f>+R39</f>
        <v>0</v>
      </c>
      <c r="Y83" s="172">
        <v>0</v>
      </c>
    </row>
    <row r="84" spans="1:25" ht="15">
      <c r="A84" s="177" t="b">
        <f t="shared" si="37"/>
        <v>1</v>
      </c>
      <c r="B84" s="292" t="str">
        <f>+modsalario2021!B10</f>
        <v>G</v>
      </c>
      <c r="C84" s="180">
        <f t="shared" si="38"/>
        <v>1355.739</v>
      </c>
      <c r="D84" s="181">
        <f>+'4a semana'!S13</f>
        <v>1355.739</v>
      </c>
      <c r="E84" s="181">
        <v>0</v>
      </c>
      <c r="F84" s="180">
        <f t="shared" si="43"/>
        <v>5422.956</v>
      </c>
      <c r="G84" s="181">
        <f t="shared" si="39"/>
        <v>0</v>
      </c>
      <c r="H84" s="184">
        <f t="shared" si="44"/>
        <v>5422.956</v>
      </c>
      <c r="I84" s="180">
        <f>H84</f>
        <v>5422.956</v>
      </c>
      <c r="J84" s="172">
        <f>IF(I84&gt;0,LOOKUP(I84,$B$3:$C$13,$B$3:$B$13),0)</f>
        <v>644.59</v>
      </c>
      <c r="K84" s="172">
        <f>I84-J84</f>
        <v>4778.366</v>
      </c>
      <c r="L84" s="174">
        <f t="shared" si="40"/>
        <v>0.064</v>
      </c>
      <c r="M84" s="178">
        <f>K84*L84</f>
        <v>305.815424</v>
      </c>
      <c r="N84" s="178">
        <f>IF(I84&gt;0,LOOKUP(I84,$B$3:$C$13,$D$3:$D$13),0)</f>
        <v>12.38</v>
      </c>
      <c r="O84" s="179">
        <f>N84+M84</f>
        <v>318.195424</v>
      </c>
      <c r="P84" s="172">
        <f>IF(I84&gt;0,LOOKUP(I84,$B$18:$C$28,$D$18:$D$28),0)</f>
        <v>294.63</v>
      </c>
      <c r="Q84" s="172">
        <f>IF(O84&gt;P84,O84-P84,0)</f>
        <v>23.565424000000007</v>
      </c>
      <c r="R84" s="172">
        <f t="shared" si="41"/>
        <v>0</v>
      </c>
      <c r="S84" s="180"/>
      <c r="T84" s="180">
        <f t="shared" si="42"/>
        <v>16.6057792</v>
      </c>
      <c r="U84" s="180">
        <v>0</v>
      </c>
      <c r="V84" s="180"/>
      <c r="W84" s="180"/>
      <c r="X84" s="180">
        <f>+R40</f>
        <v>0</v>
      </c>
      <c r="Y84" s="172">
        <f>R84-U84</f>
        <v>0</v>
      </c>
    </row>
    <row r="85" spans="1:27" ht="15">
      <c r="A85" s="177" t="b">
        <f t="shared" si="37"/>
        <v>1</v>
      </c>
      <c r="B85" s="292" t="str">
        <f>+modsalario2021!B11</f>
        <v>H</v>
      </c>
      <c r="C85" s="180">
        <f t="shared" si="38"/>
        <v>1173.6339999999998</v>
      </c>
      <c r="D85" s="181">
        <f>+'4a semana'!S14</f>
        <v>1173.6339999999998</v>
      </c>
      <c r="E85" s="181">
        <v>0</v>
      </c>
      <c r="F85" s="180">
        <f t="shared" si="43"/>
        <v>4694.535999999999</v>
      </c>
      <c r="G85" s="181">
        <f t="shared" si="39"/>
        <v>0</v>
      </c>
      <c r="H85" s="184">
        <f t="shared" si="44"/>
        <v>4694.535999999999</v>
      </c>
      <c r="I85" s="180">
        <f t="shared" si="45"/>
        <v>4694.535999999999</v>
      </c>
      <c r="J85" s="172">
        <f t="shared" si="46"/>
        <v>644.59</v>
      </c>
      <c r="K85" s="172">
        <f t="shared" si="47"/>
        <v>4049.945999999999</v>
      </c>
      <c r="L85" s="174">
        <f t="shared" si="40"/>
        <v>0.064</v>
      </c>
      <c r="M85" s="178">
        <f t="shared" si="48"/>
        <v>259.19654399999996</v>
      </c>
      <c r="N85" s="178">
        <f t="shared" si="49"/>
        <v>12.38</v>
      </c>
      <c r="O85" s="179">
        <f t="shared" si="50"/>
        <v>271.57654399999996</v>
      </c>
      <c r="P85" s="172">
        <f t="shared" si="51"/>
        <v>354.23</v>
      </c>
      <c r="Q85" s="172">
        <f t="shared" si="52"/>
        <v>0</v>
      </c>
      <c r="R85" s="172">
        <f t="shared" si="41"/>
        <v>-82.65345600000006</v>
      </c>
      <c r="S85" s="180"/>
      <c r="T85" s="180">
        <f t="shared" si="42"/>
        <v>0</v>
      </c>
      <c r="U85" s="180">
        <v>0</v>
      </c>
      <c r="V85" s="180"/>
      <c r="W85" s="180"/>
      <c r="X85" s="180">
        <f>+R41</f>
        <v>-6.3456640000000135</v>
      </c>
      <c r="Y85" s="172">
        <v>3</v>
      </c>
      <c r="Z85" s="180">
        <f>+X85*Y85</f>
        <v>-19.03699200000004</v>
      </c>
      <c r="AA85" s="180">
        <f>+R85-Z85</f>
        <v>-63.61646400000002</v>
      </c>
    </row>
    <row r="86" spans="1:25" ht="15">
      <c r="A86" s="177" t="b">
        <f t="shared" si="37"/>
        <v>1</v>
      </c>
      <c r="B86" s="292" t="str">
        <f>+modsalario2021!B12</f>
        <v>I</v>
      </c>
      <c r="C86" s="180">
        <f t="shared" si="38"/>
        <v>1355.739</v>
      </c>
      <c r="D86" s="181">
        <f>+'4a semana'!S15</f>
        <v>1355.739</v>
      </c>
      <c r="E86" s="181">
        <v>0</v>
      </c>
      <c r="F86" s="180">
        <f t="shared" si="43"/>
        <v>5422.956</v>
      </c>
      <c r="G86" s="181">
        <f t="shared" si="39"/>
        <v>0</v>
      </c>
      <c r="H86" s="184">
        <f>F86-G86</f>
        <v>5422.956</v>
      </c>
      <c r="I86" s="180">
        <f>H86</f>
        <v>5422.956</v>
      </c>
      <c r="J86" s="172">
        <f>IF(I86&gt;0,LOOKUP(I86,$B$3:$C$13,$B$3:$B$13),0)</f>
        <v>644.59</v>
      </c>
      <c r="K86" s="172">
        <f>I86-J86</f>
        <v>4778.366</v>
      </c>
      <c r="L86" s="174">
        <f t="shared" si="40"/>
        <v>0.064</v>
      </c>
      <c r="M86" s="178">
        <f>K86*L86</f>
        <v>305.815424</v>
      </c>
      <c r="N86" s="178">
        <f>IF(I86&gt;0,LOOKUP(I86,$B$3:$C$13,$D$3:$D$13),0)</f>
        <v>12.38</v>
      </c>
      <c r="O86" s="179">
        <f>N86+M86</f>
        <v>318.195424</v>
      </c>
      <c r="P86" s="172">
        <f>IF(I86&gt;0,LOOKUP(I86,$B$18:$C$28,$D$18:$D$28),0)</f>
        <v>294.63</v>
      </c>
      <c r="Q86" s="172">
        <f>IF(O86&gt;P86,O86-P86,0)</f>
        <v>23.565424000000007</v>
      </c>
      <c r="R86" s="172">
        <f>IF(O86&lt;P86,O86-P86,0)</f>
        <v>0</v>
      </c>
      <c r="S86" s="180"/>
      <c r="T86" s="180">
        <f t="shared" si="42"/>
        <v>16.6057792</v>
      </c>
      <c r="U86" s="180">
        <v>0</v>
      </c>
      <c r="V86" s="180"/>
      <c r="W86" s="180"/>
      <c r="X86" s="180">
        <f>+R42</f>
        <v>0</v>
      </c>
      <c r="Y86" s="172">
        <f>R86-U86</f>
        <v>0</v>
      </c>
    </row>
    <row r="87" spans="1:25" ht="15">
      <c r="A87" s="177" t="b">
        <f t="shared" si="37"/>
        <v>1</v>
      </c>
      <c r="B87" s="292" t="str">
        <f>+modsalario2021!B13</f>
        <v>J</v>
      </c>
      <c r="C87" s="180">
        <f t="shared" si="38"/>
        <v>1355.739</v>
      </c>
      <c r="D87" s="181">
        <f>+'4a semana'!S16</f>
        <v>1355.739</v>
      </c>
      <c r="E87" s="181">
        <v>0</v>
      </c>
      <c r="F87" s="180">
        <f t="shared" si="43"/>
        <v>5422.956</v>
      </c>
      <c r="G87" s="181">
        <f t="shared" si="39"/>
        <v>0</v>
      </c>
      <c r="H87" s="184">
        <f>F87-G87</f>
        <v>5422.956</v>
      </c>
      <c r="I87" s="180">
        <f>H87</f>
        <v>5422.956</v>
      </c>
      <c r="J87" s="172">
        <f>IF(I87&gt;0,LOOKUP(I87,$B$3:$C$13,$B$3:$B$13),0)</f>
        <v>644.59</v>
      </c>
      <c r="K87" s="172">
        <f>I87-J87</f>
        <v>4778.366</v>
      </c>
      <c r="L87" s="174">
        <f t="shared" si="40"/>
        <v>0.064</v>
      </c>
      <c r="M87" s="178">
        <f>K87*L87</f>
        <v>305.815424</v>
      </c>
      <c r="N87" s="178">
        <f>IF(I87&gt;0,LOOKUP(I87,$B$3:$C$13,$D$3:$D$13),0)</f>
        <v>12.38</v>
      </c>
      <c r="O87" s="179">
        <f>N87+M87</f>
        <v>318.195424</v>
      </c>
      <c r="P87" s="172">
        <f>IF(I87&gt;0,LOOKUP(I87,$B$18:$C$28,$D$18:$D$28),0)</f>
        <v>294.63</v>
      </c>
      <c r="Q87" s="172">
        <f>IF(O87&gt;P87,O87-P87,0)</f>
        <v>23.565424000000007</v>
      </c>
      <c r="R87" s="172">
        <f>IF(O87&lt;P87,O87-P87,0)</f>
        <v>0</v>
      </c>
      <c r="S87" s="180"/>
      <c r="T87" s="180">
        <f t="shared" si="42"/>
        <v>16.6057792</v>
      </c>
      <c r="U87" s="180">
        <v>0</v>
      </c>
      <c r="V87" s="180"/>
      <c r="W87" s="180"/>
      <c r="X87" s="180">
        <f>+R43</f>
        <v>0</v>
      </c>
      <c r="Y87" s="172">
        <v>0</v>
      </c>
    </row>
    <row r="88" spans="1:25" ht="15">
      <c r="A88" s="177" t="b">
        <f t="shared" si="37"/>
        <v>1</v>
      </c>
      <c r="B88" s="292" t="str">
        <f>+modsalario2021!B14</f>
        <v>K</v>
      </c>
      <c r="C88" s="180">
        <f t="shared" si="38"/>
        <v>2179.1</v>
      </c>
      <c r="D88" s="181">
        <f>+'4a semana'!S17</f>
        <v>2179.1</v>
      </c>
      <c r="E88" s="181">
        <v>0</v>
      </c>
      <c r="F88" s="180">
        <f t="shared" si="43"/>
        <v>8716.4</v>
      </c>
      <c r="G88" s="181">
        <f t="shared" si="39"/>
        <v>0</v>
      </c>
      <c r="H88" s="184">
        <f>F88-G88</f>
        <v>8716.4</v>
      </c>
      <c r="I88" s="180">
        <f>H88</f>
        <v>8716.4</v>
      </c>
      <c r="J88" s="172">
        <f>IF(I88&gt;0,LOOKUP(I88,$B$3:$C$13,$B$3:$B$13),0)</f>
        <v>5470.93</v>
      </c>
      <c r="K88" s="172">
        <f>I88-J88</f>
        <v>3245.4699999999993</v>
      </c>
      <c r="L88" s="174">
        <f t="shared" si="40"/>
        <v>0.1088</v>
      </c>
      <c r="M88" s="178">
        <f>K88*L88</f>
        <v>353.1071359999999</v>
      </c>
      <c r="N88" s="178">
        <f>IF(I88&gt;0,LOOKUP(I88,$B$3:$C$13,$D$3:$D$13),0)</f>
        <v>321.26</v>
      </c>
      <c r="O88" s="179">
        <f>N88+M88</f>
        <v>674.3671359999998</v>
      </c>
      <c r="P88" s="172">
        <f>IF(I88&gt;0,LOOKUP(I88,$B$18:$C$28,$D$18:$D$28),0)</f>
        <v>0</v>
      </c>
      <c r="Q88" s="172">
        <f>IF(O88&gt;P88,O88-P88,0)</f>
        <v>674.3671359999998</v>
      </c>
      <c r="R88" s="172">
        <f>IF(O88&lt;P88,O88-P88,0)</f>
        <v>0</v>
      </c>
      <c r="S88" s="180"/>
      <c r="T88" s="180">
        <f t="shared" si="42"/>
        <v>174.01745599999998</v>
      </c>
      <c r="U88" s="180">
        <v>0</v>
      </c>
      <c r="V88" s="180"/>
      <c r="W88" s="180"/>
      <c r="X88" s="180">
        <f>+R44</f>
        <v>0</v>
      </c>
      <c r="Y88" s="172">
        <f aca="true" t="shared" si="53" ref="Y88:Y98">R88-U88</f>
        <v>0</v>
      </c>
    </row>
    <row r="89" spans="1:25" ht="15">
      <c r="A89" s="177" t="b">
        <f t="shared" si="37"/>
        <v>1</v>
      </c>
      <c r="B89" s="292" t="str">
        <f>+modsalario2021!B15</f>
        <v>L </v>
      </c>
      <c r="C89" s="180">
        <f t="shared" si="38"/>
        <v>1355.739</v>
      </c>
      <c r="D89" s="181">
        <f>+'4a semana'!S18</f>
        <v>1355.739</v>
      </c>
      <c r="E89" s="181">
        <v>0</v>
      </c>
      <c r="F89" s="180">
        <f t="shared" si="43"/>
        <v>5422.956</v>
      </c>
      <c r="G89" s="181">
        <f t="shared" si="39"/>
        <v>0</v>
      </c>
      <c r="H89" s="184">
        <f>F89-G89</f>
        <v>5422.956</v>
      </c>
      <c r="I89" s="180">
        <f>H89</f>
        <v>5422.956</v>
      </c>
      <c r="J89" s="172">
        <f>IF(I89&gt;0,LOOKUP(I89,$B$3:$C$13,$B$3:$B$13),0)</f>
        <v>644.59</v>
      </c>
      <c r="K89" s="172">
        <f>I89-J89</f>
        <v>4778.366</v>
      </c>
      <c r="L89" s="174">
        <f t="shared" si="40"/>
        <v>0.064</v>
      </c>
      <c r="M89" s="178">
        <f>K89*L89</f>
        <v>305.815424</v>
      </c>
      <c r="N89" s="178">
        <f>IF(I89&gt;0,LOOKUP(I89,$B$3:$C$13,$D$3:$D$13),0)</f>
        <v>12.38</v>
      </c>
      <c r="O89" s="179">
        <f>N89+M89</f>
        <v>318.195424</v>
      </c>
      <c r="P89" s="172">
        <f>IF(I89&gt;0,LOOKUP(I89,$B$18:$C$28,$D$18:$D$28),0)</f>
        <v>294.63</v>
      </c>
      <c r="Q89" s="172">
        <f>IF(O89&gt;P89,O89-P89,0)</f>
        <v>23.565424000000007</v>
      </c>
      <c r="R89" s="172">
        <f>IF(O89&lt;P89,O89-P89,0)</f>
        <v>0</v>
      </c>
      <c r="S89" s="180"/>
      <c r="T89" s="180">
        <f t="shared" si="42"/>
        <v>16.6057792</v>
      </c>
      <c r="U89" s="180">
        <v>0</v>
      </c>
      <c r="V89" s="180"/>
      <c r="W89" s="180"/>
      <c r="X89" s="180">
        <f>+R45</f>
        <v>0</v>
      </c>
      <c r="Y89" s="172">
        <f t="shared" si="53"/>
        <v>0</v>
      </c>
    </row>
    <row r="90" spans="1:25" ht="15">
      <c r="A90" s="177" t="b">
        <f t="shared" si="37"/>
        <v>1</v>
      </c>
      <c r="B90" s="292" t="str">
        <f>+modsalario2021!B16</f>
        <v>LL</v>
      </c>
      <c r="C90" s="180">
        <f t="shared" si="38"/>
        <v>2122.642</v>
      </c>
      <c r="D90" s="181">
        <f>+'4a semana'!S19</f>
        <v>1173.6339999999998</v>
      </c>
      <c r="E90" s="181">
        <v>0</v>
      </c>
      <c r="F90" s="180">
        <f t="shared" si="43"/>
        <v>6592.552</v>
      </c>
      <c r="G90" s="181">
        <f t="shared" si="39"/>
        <v>365.80799999999994</v>
      </c>
      <c r="H90" s="184">
        <f>F90-G90</f>
        <v>6226.744</v>
      </c>
      <c r="I90" s="180">
        <f>H90</f>
        <v>6226.744</v>
      </c>
      <c r="J90" s="172">
        <f>IF(I90&gt;0,LOOKUP(I90,$B$3:$C$13,$B$3:$B$13),0)</f>
        <v>5470.93</v>
      </c>
      <c r="K90" s="172">
        <f>I90-J90</f>
        <v>755.8139999999994</v>
      </c>
      <c r="L90" s="174">
        <f t="shared" si="40"/>
        <v>0.1088</v>
      </c>
      <c r="M90" s="178">
        <f>K90*L90</f>
        <v>82.23256319999993</v>
      </c>
      <c r="N90" s="178">
        <f>IF(I90&gt;0,LOOKUP(I90,$B$3:$C$13,$D$3:$D$13),0)</f>
        <v>321.26</v>
      </c>
      <c r="O90" s="179">
        <f>N90+M90</f>
        <v>403.49256319999995</v>
      </c>
      <c r="P90" s="172">
        <f>IF(I90&gt;0,LOOKUP(I90,$B$18:$C$28,$D$18:$D$28),0)</f>
        <v>253.54</v>
      </c>
      <c r="Q90" s="172">
        <f>IF(O90&gt;P90,O90-P90,0)</f>
        <v>149.95256319999996</v>
      </c>
      <c r="R90" s="172">
        <f>IF(O90&lt;P90,O90-P90,0)</f>
        <v>0</v>
      </c>
      <c r="S90" s="180"/>
      <c r="T90" s="180">
        <f t="shared" si="42"/>
        <v>128.07491519999996</v>
      </c>
      <c r="U90" s="180">
        <v>0</v>
      </c>
      <c r="V90" s="180"/>
      <c r="W90" s="180"/>
      <c r="X90" s="180">
        <f>+R46</f>
        <v>0</v>
      </c>
      <c r="Y90" s="172">
        <f t="shared" si="53"/>
        <v>0</v>
      </c>
    </row>
    <row r="91" spans="1:25" ht="15">
      <c r="A91" s="177" t="b">
        <f t="shared" si="37"/>
        <v>1</v>
      </c>
      <c r="B91" s="292" t="str">
        <f>+modsalario2021!B17</f>
        <v>M</v>
      </c>
      <c r="C91" s="180">
        <f t="shared" si="38"/>
        <v>1173.6339999999998</v>
      </c>
      <c r="D91" s="181">
        <f>+'4a semana'!S20</f>
        <v>1173.6339999999998</v>
      </c>
      <c r="E91" s="181">
        <v>0</v>
      </c>
      <c r="F91" s="180">
        <f t="shared" si="43"/>
        <v>4694.535999999999</v>
      </c>
      <c r="G91" s="181">
        <f t="shared" si="39"/>
        <v>0</v>
      </c>
      <c r="H91" s="184">
        <f aca="true" t="shared" si="54" ref="H91:H97">F91-G91</f>
        <v>4694.535999999999</v>
      </c>
      <c r="I91" s="180">
        <f aca="true" t="shared" si="55" ref="I91:I97">H91</f>
        <v>4694.535999999999</v>
      </c>
      <c r="J91" s="172">
        <f aca="true" t="shared" si="56" ref="J91:J97">IF(I91&gt;0,LOOKUP(I91,$B$3:$C$13,$B$3:$B$13),0)</f>
        <v>644.59</v>
      </c>
      <c r="K91" s="172">
        <f aca="true" t="shared" si="57" ref="K91:K97">I91-J91</f>
        <v>4049.945999999999</v>
      </c>
      <c r="L91" s="174">
        <f aca="true" t="shared" si="58" ref="L91:L97">IF(I91&gt;0,LOOKUP(I91,$B$3:$C$11,$E$3:$E$11),0)</f>
        <v>0.064</v>
      </c>
      <c r="M91" s="178">
        <f aca="true" t="shared" si="59" ref="M91:M97">K91*L91</f>
        <v>259.19654399999996</v>
      </c>
      <c r="N91" s="178">
        <f aca="true" t="shared" si="60" ref="N91:N97">IF(I91&gt;0,LOOKUP(I91,$B$3:$C$13,$D$3:$D$13),0)</f>
        <v>12.38</v>
      </c>
      <c r="O91" s="179">
        <f aca="true" t="shared" si="61" ref="O91:O97">N91+M91</f>
        <v>271.57654399999996</v>
      </c>
      <c r="P91" s="172">
        <f aca="true" t="shared" si="62" ref="P91:P97">IF(I91&gt;0,LOOKUP(I91,$B$18:$C$28,$D$18:$D$28),0)</f>
        <v>354.23</v>
      </c>
      <c r="Q91" s="172">
        <f aca="true" t="shared" si="63" ref="Q91:Q97">IF(O91&gt;P91,O91-P91,0)</f>
        <v>0</v>
      </c>
      <c r="R91" s="172">
        <f aca="true" t="shared" si="64" ref="R91:R97">IF(O91&lt;P91,O91-P91,0)</f>
        <v>-82.65345600000006</v>
      </c>
      <c r="S91" s="180"/>
      <c r="T91" s="180">
        <f t="shared" si="42"/>
        <v>0</v>
      </c>
      <c r="U91" s="180">
        <v>0</v>
      </c>
      <c r="V91" s="180"/>
      <c r="W91" s="180"/>
      <c r="X91" s="180">
        <f>+R47</f>
        <v>-6.3456640000000135</v>
      </c>
      <c r="Y91" s="172">
        <f t="shared" si="53"/>
        <v>-82.65345600000006</v>
      </c>
    </row>
    <row r="92" spans="1:25" ht="15">
      <c r="A92" s="177" t="b">
        <f t="shared" si="37"/>
        <v>1</v>
      </c>
      <c r="B92" s="292" t="str">
        <f>+modsalario2021!B18</f>
        <v>N</v>
      </c>
      <c r="C92" s="180">
        <f t="shared" si="38"/>
        <v>1813.7979999999998</v>
      </c>
      <c r="D92" s="181">
        <f>+'4a semana'!S21</f>
        <v>1173.6339999999998</v>
      </c>
      <c r="E92" s="181">
        <v>0</v>
      </c>
      <c r="F92" s="180">
        <f t="shared" si="43"/>
        <v>5974.864</v>
      </c>
      <c r="G92" s="181">
        <f t="shared" si="39"/>
        <v>640.1639999999999</v>
      </c>
      <c r="H92" s="184">
        <f t="shared" si="54"/>
        <v>5334.7</v>
      </c>
      <c r="I92" s="180">
        <f t="shared" si="55"/>
        <v>5334.7</v>
      </c>
      <c r="J92" s="172">
        <f t="shared" si="56"/>
        <v>644.59</v>
      </c>
      <c r="K92" s="172">
        <f t="shared" si="57"/>
        <v>4690.11</v>
      </c>
      <c r="L92" s="174">
        <f t="shared" si="58"/>
        <v>0.064</v>
      </c>
      <c r="M92" s="178">
        <f t="shared" si="59"/>
        <v>300.16704</v>
      </c>
      <c r="N92" s="178">
        <f t="shared" si="60"/>
        <v>12.38</v>
      </c>
      <c r="O92" s="179">
        <f t="shared" si="61"/>
        <v>312.54704</v>
      </c>
      <c r="P92" s="172">
        <f t="shared" si="62"/>
        <v>324.87</v>
      </c>
      <c r="Q92" s="172">
        <f t="shared" si="63"/>
        <v>0</v>
      </c>
      <c r="R92" s="172">
        <f t="shared" si="64"/>
        <v>-12.322960000000023</v>
      </c>
      <c r="S92" s="180"/>
      <c r="T92" s="180">
        <f t="shared" si="42"/>
        <v>0</v>
      </c>
      <c r="U92" s="180">
        <v>0</v>
      </c>
      <c r="V92" s="180"/>
      <c r="W92" s="180"/>
      <c r="X92" s="180">
        <f>+R48</f>
        <v>-6.345663999999999</v>
      </c>
      <c r="Y92" s="172">
        <f t="shared" si="53"/>
        <v>-12.322960000000023</v>
      </c>
    </row>
    <row r="93" spans="1:25" ht="15">
      <c r="A93" s="177" t="b">
        <f t="shared" si="37"/>
        <v>1</v>
      </c>
      <c r="B93" s="292" t="str">
        <f>+modsalario2021!B19</f>
        <v>Ñ</v>
      </c>
      <c r="C93" s="180">
        <f t="shared" si="38"/>
        <v>1447.9899999999998</v>
      </c>
      <c r="D93" s="181">
        <f>+'4a semana'!S22</f>
        <v>1173.6339999999998</v>
      </c>
      <c r="E93" s="181">
        <v>0</v>
      </c>
      <c r="F93" s="180">
        <f t="shared" si="43"/>
        <v>5243.248</v>
      </c>
      <c r="G93" s="181">
        <f t="shared" si="39"/>
        <v>274.35599999999994</v>
      </c>
      <c r="H93" s="184">
        <f t="shared" si="54"/>
        <v>4968.892</v>
      </c>
      <c r="I93" s="180">
        <f t="shared" si="55"/>
        <v>4968.892</v>
      </c>
      <c r="J93" s="172">
        <f t="shared" si="56"/>
        <v>644.59</v>
      </c>
      <c r="K93" s="172">
        <f t="shared" si="57"/>
        <v>4324.302</v>
      </c>
      <c r="L93" s="174">
        <f t="shared" si="58"/>
        <v>0.064</v>
      </c>
      <c r="M93" s="178">
        <f t="shared" si="59"/>
        <v>276.75532799999996</v>
      </c>
      <c r="N93" s="178">
        <f t="shared" si="60"/>
        <v>12.38</v>
      </c>
      <c r="O93" s="179">
        <f t="shared" si="61"/>
        <v>289.13532799999996</v>
      </c>
      <c r="P93" s="172">
        <f t="shared" si="62"/>
        <v>324.87</v>
      </c>
      <c r="Q93" s="172">
        <f t="shared" si="63"/>
        <v>0</v>
      </c>
      <c r="R93" s="172">
        <f t="shared" si="64"/>
        <v>-35.734672000000046</v>
      </c>
      <c r="S93" s="180"/>
      <c r="T93" s="180">
        <f t="shared" si="42"/>
        <v>0</v>
      </c>
      <c r="U93" s="180">
        <v>0</v>
      </c>
      <c r="V93" s="180"/>
      <c r="W93" s="180"/>
      <c r="X93" s="180">
        <f>+R49</f>
        <v>-6.3456640000000135</v>
      </c>
      <c r="Y93" s="172">
        <f t="shared" si="53"/>
        <v>-35.734672000000046</v>
      </c>
    </row>
    <row r="94" spans="1:25" ht="15">
      <c r="A94" s="177" t="b">
        <f t="shared" si="37"/>
        <v>1</v>
      </c>
      <c r="B94" s="292" t="str">
        <f>+modsalario2021!B20</f>
        <v>O</v>
      </c>
      <c r="C94" s="180">
        <f t="shared" si="38"/>
        <v>1672.665</v>
      </c>
      <c r="D94" s="181">
        <f>+'4a semana'!S23</f>
        <v>1355.739</v>
      </c>
      <c r="E94" s="181">
        <v>0</v>
      </c>
      <c r="F94" s="180">
        <f t="shared" si="43"/>
        <v>6056.808</v>
      </c>
      <c r="G94" s="181">
        <f t="shared" si="39"/>
        <v>316.926</v>
      </c>
      <c r="H94" s="184">
        <f t="shared" si="54"/>
        <v>5739.882</v>
      </c>
      <c r="I94" s="180">
        <f t="shared" si="55"/>
        <v>5739.882</v>
      </c>
      <c r="J94" s="172">
        <f t="shared" si="56"/>
        <v>5470.93</v>
      </c>
      <c r="K94" s="172">
        <f t="shared" si="57"/>
        <v>268.9519999999993</v>
      </c>
      <c r="L94" s="174">
        <f t="shared" si="58"/>
        <v>0.1088</v>
      </c>
      <c r="M94" s="178">
        <f t="shared" si="59"/>
        <v>29.261977599999923</v>
      </c>
      <c r="N94" s="178">
        <f t="shared" si="60"/>
        <v>321.26</v>
      </c>
      <c r="O94" s="179">
        <f t="shared" si="61"/>
        <v>350.5219775999999</v>
      </c>
      <c r="P94" s="172">
        <f t="shared" si="62"/>
        <v>294.63</v>
      </c>
      <c r="Q94" s="172">
        <f t="shared" si="63"/>
        <v>55.891977599999905</v>
      </c>
      <c r="R94" s="172">
        <f t="shared" si="64"/>
        <v>0</v>
      </c>
      <c r="S94" s="180"/>
      <c r="T94" s="180">
        <f t="shared" si="42"/>
        <v>16.6057792</v>
      </c>
      <c r="U94" s="180">
        <v>0</v>
      </c>
      <c r="V94" s="180"/>
      <c r="W94" s="180"/>
      <c r="X94" s="180">
        <f>+R50</f>
        <v>0</v>
      </c>
      <c r="Y94" s="180">
        <f t="shared" si="53"/>
        <v>0</v>
      </c>
    </row>
    <row r="95" spans="1:25" ht="15">
      <c r="A95" s="177" t="b">
        <f t="shared" si="37"/>
        <v>1</v>
      </c>
      <c r="B95" s="292" t="str">
        <f>+modsalario2021!B21</f>
        <v>P </v>
      </c>
      <c r="C95" s="180">
        <f t="shared" si="38"/>
        <v>1097.25</v>
      </c>
      <c r="D95" s="181">
        <f>+'4a semana'!S24</f>
        <v>1097.25</v>
      </c>
      <c r="E95" s="181">
        <v>0</v>
      </c>
      <c r="F95" s="180">
        <f t="shared" si="43"/>
        <v>4389</v>
      </c>
      <c r="G95" s="181">
        <f t="shared" si="39"/>
        <v>0</v>
      </c>
      <c r="H95" s="184">
        <f t="shared" si="54"/>
        <v>4389</v>
      </c>
      <c r="I95" s="180">
        <f t="shared" si="55"/>
        <v>4389</v>
      </c>
      <c r="J95" s="172">
        <f t="shared" si="56"/>
        <v>644.59</v>
      </c>
      <c r="K95" s="172">
        <f t="shared" si="57"/>
        <v>3744.41</v>
      </c>
      <c r="L95" s="174">
        <f t="shared" si="58"/>
        <v>0.064</v>
      </c>
      <c r="M95" s="178">
        <f t="shared" si="59"/>
        <v>239.64224</v>
      </c>
      <c r="N95" s="178">
        <f t="shared" si="60"/>
        <v>12.38</v>
      </c>
      <c r="O95" s="179">
        <f t="shared" si="61"/>
        <v>252.02223999999998</v>
      </c>
      <c r="P95" s="172">
        <f t="shared" si="62"/>
        <v>382.46</v>
      </c>
      <c r="Q95" s="172">
        <f t="shared" si="63"/>
        <v>0</v>
      </c>
      <c r="R95" s="172">
        <f t="shared" si="64"/>
        <v>-130.43776</v>
      </c>
      <c r="S95" s="180"/>
      <c r="T95" s="180">
        <f t="shared" si="42"/>
        <v>0</v>
      </c>
      <c r="U95" s="180">
        <v>0</v>
      </c>
      <c r="V95" s="180"/>
      <c r="W95" s="180"/>
      <c r="X95" s="180">
        <f>+R51</f>
        <v>-11.23424</v>
      </c>
      <c r="Y95" s="180">
        <f t="shared" si="53"/>
        <v>-130.43776</v>
      </c>
    </row>
    <row r="96" spans="1:25" ht="15">
      <c r="A96" s="177" t="b">
        <f t="shared" si="37"/>
        <v>1</v>
      </c>
      <c r="B96" s="292" t="str">
        <f>+modsalario2021!B22</f>
        <v>Q</v>
      </c>
      <c r="C96" s="180">
        <f t="shared" si="38"/>
        <v>1173.6339999999998</v>
      </c>
      <c r="D96" s="181">
        <f>+'4a semana'!S25</f>
        <v>1173.6339999999998</v>
      </c>
      <c r="E96" s="181">
        <v>0</v>
      </c>
      <c r="F96" s="180">
        <f t="shared" si="43"/>
        <v>4694.535999999999</v>
      </c>
      <c r="G96" s="181">
        <f t="shared" si="39"/>
        <v>0</v>
      </c>
      <c r="H96" s="184">
        <f t="shared" si="54"/>
        <v>4694.535999999999</v>
      </c>
      <c r="I96" s="180">
        <f t="shared" si="55"/>
        <v>4694.535999999999</v>
      </c>
      <c r="J96" s="180">
        <f t="shared" si="56"/>
        <v>644.59</v>
      </c>
      <c r="K96" s="180">
        <f t="shared" si="57"/>
        <v>4049.945999999999</v>
      </c>
      <c r="L96" s="182">
        <f t="shared" si="58"/>
        <v>0.064</v>
      </c>
      <c r="M96" s="178">
        <f t="shared" si="59"/>
        <v>259.19654399999996</v>
      </c>
      <c r="N96" s="178">
        <f t="shared" si="60"/>
        <v>12.38</v>
      </c>
      <c r="O96" s="179">
        <f t="shared" si="61"/>
        <v>271.57654399999996</v>
      </c>
      <c r="P96" s="180">
        <f t="shared" si="62"/>
        <v>354.23</v>
      </c>
      <c r="Q96" s="180">
        <f t="shared" si="63"/>
        <v>0</v>
      </c>
      <c r="R96" s="180">
        <f t="shared" si="64"/>
        <v>-82.65345600000006</v>
      </c>
      <c r="S96" s="180"/>
      <c r="T96" s="180">
        <f t="shared" si="42"/>
        <v>0</v>
      </c>
      <c r="U96" s="180">
        <v>0</v>
      </c>
      <c r="V96" s="180"/>
      <c r="W96" s="180"/>
      <c r="X96" s="180">
        <f>+R52</f>
        <v>-6.3456640000000135</v>
      </c>
      <c r="Y96" s="180">
        <f t="shared" si="53"/>
        <v>-82.65345600000006</v>
      </c>
    </row>
    <row r="97" spans="1:25" s="159" customFormat="1" ht="15">
      <c r="A97" s="177" t="b">
        <f t="shared" si="37"/>
        <v>1</v>
      </c>
      <c r="B97" s="293" t="str">
        <f>+B53</f>
        <v>T</v>
      </c>
      <c r="C97" s="180">
        <f t="shared" si="38"/>
        <v>1097.25</v>
      </c>
      <c r="D97" s="181">
        <f>+'4a semana'!S26</f>
        <v>1097.25</v>
      </c>
      <c r="E97" s="181">
        <v>0</v>
      </c>
      <c r="F97" s="180">
        <f t="shared" si="43"/>
        <v>4389</v>
      </c>
      <c r="G97" s="181">
        <f t="shared" si="39"/>
        <v>0</v>
      </c>
      <c r="H97" s="184">
        <f t="shared" si="54"/>
        <v>4389</v>
      </c>
      <c r="I97" s="180">
        <f t="shared" si="55"/>
        <v>4389</v>
      </c>
      <c r="J97" s="180">
        <f t="shared" si="56"/>
        <v>644.59</v>
      </c>
      <c r="K97" s="180">
        <f t="shared" si="57"/>
        <v>3744.41</v>
      </c>
      <c r="L97" s="182">
        <f t="shared" si="58"/>
        <v>0.064</v>
      </c>
      <c r="M97" s="178">
        <f t="shared" si="59"/>
        <v>239.64224</v>
      </c>
      <c r="N97" s="178">
        <f t="shared" si="60"/>
        <v>12.38</v>
      </c>
      <c r="O97" s="179">
        <f t="shared" si="61"/>
        <v>252.02223999999998</v>
      </c>
      <c r="P97" s="180">
        <f t="shared" si="62"/>
        <v>382.46</v>
      </c>
      <c r="Q97" s="180">
        <f t="shared" si="63"/>
        <v>0</v>
      </c>
      <c r="R97" s="180">
        <f t="shared" si="64"/>
        <v>-130.43776</v>
      </c>
      <c r="S97" s="180"/>
      <c r="T97" s="180">
        <f t="shared" si="42"/>
        <v>0</v>
      </c>
      <c r="U97" s="180">
        <v>0</v>
      </c>
      <c r="V97" s="180"/>
      <c r="W97" s="180"/>
      <c r="X97" s="180">
        <f>+R53</f>
        <v>-11.23424</v>
      </c>
      <c r="Y97" s="180">
        <f t="shared" si="53"/>
        <v>-130.43776</v>
      </c>
    </row>
    <row r="98" spans="1:25" ht="15">
      <c r="A98" s="177" t="b">
        <f t="shared" si="37"/>
        <v>1</v>
      </c>
      <c r="B98" s="293" t="str">
        <f>+B54</f>
        <v>U</v>
      </c>
      <c r="C98" s="180">
        <f t="shared" si="38"/>
        <v>1355.739</v>
      </c>
      <c r="D98" s="181">
        <f>+'4a semana'!S27</f>
        <v>1355.739</v>
      </c>
      <c r="E98" s="181">
        <v>0</v>
      </c>
      <c r="F98" s="180">
        <f t="shared" si="43"/>
        <v>5422.956</v>
      </c>
      <c r="G98" s="181">
        <f>+'3a semana'!P27</f>
        <v>0</v>
      </c>
      <c r="H98" s="184">
        <f aca="true" t="shared" si="65" ref="H98:H105">F98-G98</f>
        <v>5422.956</v>
      </c>
      <c r="I98" s="180">
        <f aca="true" t="shared" si="66" ref="I98:I105">H98</f>
        <v>5422.956</v>
      </c>
      <c r="J98" s="180">
        <f aca="true" t="shared" si="67" ref="J98:J105">IF(I98&gt;0,LOOKUP(I98,$B$3:$C$13,$B$3:$B$13),0)</f>
        <v>644.59</v>
      </c>
      <c r="K98" s="180">
        <f aca="true" t="shared" si="68" ref="K98:K105">I98-J98</f>
        <v>4778.366</v>
      </c>
      <c r="L98" s="182">
        <f aca="true" t="shared" si="69" ref="L98:L105">IF(I98&gt;0,LOOKUP(I98,$B$3:$C$11,$E$3:$E$11),0)</f>
        <v>0.064</v>
      </c>
      <c r="M98" s="178">
        <f aca="true" t="shared" si="70" ref="M98:M105">K98*L98</f>
        <v>305.815424</v>
      </c>
      <c r="N98" s="178">
        <f aca="true" t="shared" si="71" ref="N98:N105">IF(I98&gt;0,LOOKUP(I98,$B$3:$C$13,$D$3:$D$13),0)</f>
        <v>12.38</v>
      </c>
      <c r="O98" s="179">
        <f aca="true" t="shared" si="72" ref="O98:O105">N98+M98</f>
        <v>318.195424</v>
      </c>
      <c r="P98" s="180">
        <f aca="true" t="shared" si="73" ref="P98:P105">IF(I98&gt;0,LOOKUP(I98,$B$18:$C$28,$D$18:$D$28),0)</f>
        <v>294.63</v>
      </c>
      <c r="Q98" s="180">
        <f aca="true" t="shared" si="74" ref="Q98:Q105">IF(O98&gt;P98,O98-P98,0)</f>
        <v>23.565424000000007</v>
      </c>
      <c r="R98" s="180">
        <f aca="true" t="shared" si="75" ref="R98:R105">IF(O98&lt;P98,O98-P98,0)</f>
        <v>0</v>
      </c>
      <c r="S98" s="180"/>
      <c r="T98" s="180">
        <f t="shared" si="42"/>
        <v>16.6057792</v>
      </c>
      <c r="U98" s="180">
        <v>0</v>
      </c>
      <c r="V98" s="180"/>
      <c r="W98" s="180"/>
      <c r="X98" s="180">
        <f>+R54</f>
        <v>0</v>
      </c>
      <c r="Y98" s="180">
        <f t="shared" si="53"/>
        <v>0</v>
      </c>
    </row>
    <row r="99" spans="1:25" s="159" customFormat="1" ht="15">
      <c r="A99" s="177" t="b">
        <f t="shared" si="37"/>
        <v>1</v>
      </c>
      <c r="B99" s="293" t="str">
        <f>+modsalario2021!B24</f>
        <v>S</v>
      </c>
      <c r="C99" s="180">
        <f t="shared" si="38"/>
        <v>1173.6339999999998</v>
      </c>
      <c r="D99" s="181">
        <f>+'4a semana'!S28</f>
        <v>1173.6339999999998</v>
      </c>
      <c r="E99" s="181">
        <v>0</v>
      </c>
      <c r="F99" s="180">
        <f t="shared" si="43"/>
        <v>4694.535999999999</v>
      </c>
      <c r="G99" s="181">
        <f aca="true" t="shared" si="76" ref="G99:G105">+G55</f>
        <v>0</v>
      </c>
      <c r="H99" s="184">
        <f t="shared" si="65"/>
        <v>4694.535999999999</v>
      </c>
      <c r="I99" s="180">
        <f t="shared" si="66"/>
        <v>4694.535999999999</v>
      </c>
      <c r="J99" s="180">
        <f t="shared" si="67"/>
        <v>644.59</v>
      </c>
      <c r="K99" s="180">
        <f t="shared" si="68"/>
        <v>4049.945999999999</v>
      </c>
      <c r="L99" s="182">
        <f t="shared" si="69"/>
        <v>0.064</v>
      </c>
      <c r="M99" s="178">
        <f t="shared" si="70"/>
        <v>259.19654399999996</v>
      </c>
      <c r="N99" s="178">
        <f t="shared" si="71"/>
        <v>12.38</v>
      </c>
      <c r="O99" s="179">
        <f t="shared" si="72"/>
        <v>271.57654399999996</v>
      </c>
      <c r="P99" s="180">
        <f t="shared" si="73"/>
        <v>354.23</v>
      </c>
      <c r="Q99" s="180">
        <f t="shared" si="74"/>
        <v>0</v>
      </c>
      <c r="R99" s="180">
        <f t="shared" si="75"/>
        <v>-82.65345600000006</v>
      </c>
      <c r="S99" s="180"/>
      <c r="T99" s="180">
        <f t="shared" si="42"/>
        <v>0</v>
      </c>
      <c r="U99" s="180">
        <v>0</v>
      </c>
      <c r="V99" s="180"/>
      <c r="W99" s="180"/>
      <c r="X99" s="180">
        <f>+R55</f>
        <v>-6.3456640000000135</v>
      </c>
      <c r="Y99" s="180"/>
    </row>
    <row r="100" spans="1:25" s="159" customFormat="1" ht="15">
      <c r="A100" s="177" t="b">
        <f t="shared" si="37"/>
        <v>1</v>
      </c>
      <c r="B100" s="293" t="str">
        <f>+modsalario2021!B28</f>
        <v>X</v>
      </c>
      <c r="C100" s="180">
        <f t="shared" si="38"/>
        <v>1097.25</v>
      </c>
      <c r="D100" s="181">
        <f>+'4a semana'!S29</f>
        <v>1097.25</v>
      </c>
      <c r="E100" s="181">
        <v>0</v>
      </c>
      <c r="F100" s="180">
        <f t="shared" si="43"/>
        <v>4389</v>
      </c>
      <c r="G100" s="181">
        <f t="shared" si="76"/>
        <v>0</v>
      </c>
      <c r="H100" s="184">
        <f t="shared" si="65"/>
        <v>4389</v>
      </c>
      <c r="I100" s="180">
        <f t="shared" si="66"/>
        <v>4389</v>
      </c>
      <c r="J100" s="180">
        <f t="shared" si="67"/>
        <v>644.59</v>
      </c>
      <c r="K100" s="180">
        <f t="shared" si="68"/>
        <v>3744.41</v>
      </c>
      <c r="L100" s="182">
        <f t="shared" si="69"/>
        <v>0.064</v>
      </c>
      <c r="M100" s="178">
        <f t="shared" si="70"/>
        <v>239.64224</v>
      </c>
      <c r="N100" s="178">
        <f t="shared" si="71"/>
        <v>12.38</v>
      </c>
      <c r="O100" s="179">
        <f t="shared" si="72"/>
        <v>252.02223999999998</v>
      </c>
      <c r="P100" s="180">
        <f t="shared" si="73"/>
        <v>382.46</v>
      </c>
      <c r="Q100" s="180">
        <f t="shared" si="74"/>
        <v>0</v>
      </c>
      <c r="R100" s="180">
        <f t="shared" si="75"/>
        <v>-130.43776</v>
      </c>
      <c r="S100" s="180"/>
      <c r="T100" s="180">
        <f t="shared" si="42"/>
        <v>0</v>
      </c>
      <c r="U100" s="180">
        <v>0</v>
      </c>
      <c r="V100" s="180"/>
      <c r="W100" s="180"/>
      <c r="X100" s="180">
        <f>+R56</f>
        <v>-11.23424</v>
      </c>
      <c r="Y100" s="180"/>
    </row>
    <row r="101" spans="1:25" s="159" customFormat="1" ht="15">
      <c r="A101" s="177" t="b">
        <f t="shared" si="37"/>
        <v>1</v>
      </c>
      <c r="B101" s="293" t="str">
        <f>+modsalario2021!B29</f>
        <v>Y</v>
      </c>
      <c r="C101" s="180">
        <f t="shared" si="38"/>
        <v>1097.25</v>
      </c>
      <c r="D101" s="181">
        <f>+'4a semana'!S30</f>
        <v>1097.25</v>
      </c>
      <c r="E101" s="181">
        <v>0</v>
      </c>
      <c r="F101" s="180">
        <f t="shared" si="43"/>
        <v>4389</v>
      </c>
      <c r="G101" s="181">
        <f t="shared" si="76"/>
        <v>0</v>
      </c>
      <c r="H101" s="184">
        <f t="shared" si="65"/>
        <v>4389</v>
      </c>
      <c r="I101" s="180">
        <f t="shared" si="66"/>
        <v>4389</v>
      </c>
      <c r="J101" s="180">
        <f t="shared" si="67"/>
        <v>644.59</v>
      </c>
      <c r="K101" s="180">
        <f t="shared" si="68"/>
        <v>3744.41</v>
      </c>
      <c r="L101" s="182">
        <f t="shared" si="69"/>
        <v>0.064</v>
      </c>
      <c r="M101" s="178">
        <f t="shared" si="70"/>
        <v>239.64224</v>
      </c>
      <c r="N101" s="178">
        <f t="shared" si="71"/>
        <v>12.38</v>
      </c>
      <c r="O101" s="179">
        <f t="shared" si="72"/>
        <v>252.02223999999998</v>
      </c>
      <c r="P101" s="180">
        <f t="shared" si="73"/>
        <v>382.46</v>
      </c>
      <c r="Q101" s="180">
        <f t="shared" si="74"/>
        <v>0</v>
      </c>
      <c r="R101" s="180">
        <f t="shared" si="75"/>
        <v>-130.43776</v>
      </c>
      <c r="S101" s="180"/>
      <c r="T101" s="180">
        <f t="shared" si="42"/>
        <v>0</v>
      </c>
      <c r="U101" s="180">
        <v>0</v>
      </c>
      <c r="V101" s="180"/>
      <c r="W101" s="180"/>
      <c r="X101" s="180">
        <f>+R57</f>
        <v>-11.23424</v>
      </c>
      <c r="Y101" s="180"/>
    </row>
    <row r="102" spans="1:25" s="159" customFormat="1" ht="15">
      <c r="A102" s="177" t="b">
        <f t="shared" si="37"/>
        <v>1</v>
      </c>
      <c r="B102" s="293" t="str">
        <f>+modsalario2021!B30</f>
        <v>Z</v>
      </c>
      <c r="C102" s="180">
        <f t="shared" si="38"/>
        <v>1097.25</v>
      </c>
      <c r="D102" s="181">
        <f>+'4a semana'!S31</f>
        <v>1097.25</v>
      </c>
      <c r="E102" s="181">
        <v>0</v>
      </c>
      <c r="F102" s="180">
        <f t="shared" si="43"/>
        <v>4389</v>
      </c>
      <c r="G102" s="181">
        <f t="shared" si="76"/>
        <v>0</v>
      </c>
      <c r="H102" s="184">
        <f t="shared" si="65"/>
        <v>4389</v>
      </c>
      <c r="I102" s="180">
        <f t="shared" si="66"/>
        <v>4389</v>
      </c>
      <c r="J102" s="180">
        <f t="shared" si="67"/>
        <v>644.59</v>
      </c>
      <c r="K102" s="180">
        <f t="shared" si="68"/>
        <v>3744.41</v>
      </c>
      <c r="L102" s="182">
        <f t="shared" si="69"/>
        <v>0.064</v>
      </c>
      <c r="M102" s="178">
        <f t="shared" si="70"/>
        <v>239.64224</v>
      </c>
      <c r="N102" s="178">
        <f t="shared" si="71"/>
        <v>12.38</v>
      </c>
      <c r="O102" s="179">
        <f t="shared" si="72"/>
        <v>252.02223999999998</v>
      </c>
      <c r="P102" s="180">
        <f t="shared" si="73"/>
        <v>382.46</v>
      </c>
      <c r="Q102" s="180">
        <f t="shared" si="74"/>
        <v>0</v>
      </c>
      <c r="R102" s="180">
        <f t="shared" si="75"/>
        <v>-130.43776</v>
      </c>
      <c r="S102" s="180"/>
      <c r="T102" s="180">
        <f t="shared" si="42"/>
        <v>0</v>
      </c>
      <c r="U102" s="180">
        <v>0</v>
      </c>
      <c r="V102" s="180"/>
      <c r="W102" s="180"/>
      <c r="X102" s="180">
        <f>+R58</f>
        <v>-11.23424</v>
      </c>
      <c r="Y102" s="180"/>
    </row>
    <row r="103" spans="1:25" s="159" customFormat="1" ht="15">
      <c r="A103" s="177" t="b">
        <f t="shared" si="37"/>
        <v>1</v>
      </c>
      <c r="B103" s="293" t="str">
        <f>+modsalario2021!B32</f>
        <v>AB</v>
      </c>
      <c r="C103" s="180">
        <f t="shared" si="38"/>
        <v>1097.25</v>
      </c>
      <c r="D103" s="181">
        <f>+'4a semana'!S32</f>
        <v>1097.25</v>
      </c>
      <c r="E103" s="181"/>
      <c r="F103" s="180">
        <f t="shared" si="43"/>
        <v>4389</v>
      </c>
      <c r="G103" s="181">
        <f t="shared" si="76"/>
        <v>0</v>
      </c>
      <c r="H103" s="184">
        <f t="shared" si="65"/>
        <v>4389</v>
      </c>
      <c r="I103" s="180">
        <f t="shared" si="66"/>
        <v>4389</v>
      </c>
      <c r="J103" s="180">
        <f t="shared" si="67"/>
        <v>644.59</v>
      </c>
      <c r="K103" s="180">
        <f t="shared" si="68"/>
        <v>3744.41</v>
      </c>
      <c r="L103" s="182">
        <f t="shared" si="69"/>
        <v>0.064</v>
      </c>
      <c r="M103" s="178">
        <f t="shared" si="70"/>
        <v>239.64224</v>
      </c>
      <c r="N103" s="178">
        <f t="shared" si="71"/>
        <v>12.38</v>
      </c>
      <c r="O103" s="179">
        <f t="shared" si="72"/>
        <v>252.02223999999998</v>
      </c>
      <c r="P103" s="180">
        <f t="shared" si="73"/>
        <v>382.46</v>
      </c>
      <c r="Q103" s="180">
        <f t="shared" si="74"/>
        <v>0</v>
      </c>
      <c r="R103" s="180">
        <f t="shared" si="75"/>
        <v>-130.43776</v>
      </c>
      <c r="S103" s="180"/>
      <c r="T103" s="180">
        <f t="shared" si="42"/>
        <v>0</v>
      </c>
      <c r="U103" s="180">
        <v>0</v>
      </c>
      <c r="V103" s="180"/>
      <c r="W103" s="180"/>
      <c r="X103" s="180">
        <f>+R59</f>
        <v>-11.23424</v>
      </c>
      <c r="Y103" s="180"/>
    </row>
    <row r="104" spans="1:25" s="159" customFormat="1" ht="15">
      <c r="A104" s="177" t="b">
        <f t="shared" si="37"/>
        <v>1</v>
      </c>
      <c r="B104" s="293" t="str">
        <f>+modsalario2021!B34</f>
        <v>AD</v>
      </c>
      <c r="C104" s="180">
        <f t="shared" si="38"/>
        <v>997.5</v>
      </c>
      <c r="D104" s="181">
        <f>+'4a semana'!S33</f>
        <v>1097.25</v>
      </c>
      <c r="E104" s="181"/>
      <c r="F104" s="180">
        <f t="shared" si="43"/>
        <v>4189.5</v>
      </c>
      <c r="G104" s="181">
        <f t="shared" si="76"/>
        <v>0</v>
      </c>
      <c r="H104" s="184">
        <f t="shared" si="65"/>
        <v>4189.5</v>
      </c>
      <c r="I104" s="180">
        <f t="shared" si="66"/>
        <v>4189.5</v>
      </c>
      <c r="J104" s="180">
        <f t="shared" si="67"/>
        <v>644.59</v>
      </c>
      <c r="K104" s="180">
        <f t="shared" si="68"/>
        <v>3544.91</v>
      </c>
      <c r="L104" s="182">
        <f t="shared" si="69"/>
        <v>0.064</v>
      </c>
      <c r="M104" s="178">
        <f t="shared" si="70"/>
        <v>226.87424</v>
      </c>
      <c r="N104" s="178">
        <f t="shared" si="71"/>
        <v>12.38</v>
      </c>
      <c r="O104" s="179">
        <f t="shared" si="72"/>
        <v>239.25423999999998</v>
      </c>
      <c r="P104" s="180">
        <f t="shared" si="73"/>
        <v>382.46</v>
      </c>
      <c r="Q104" s="180">
        <f t="shared" si="74"/>
        <v>0</v>
      </c>
      <c r="R104" s="180">
        <f t="shared" si="75"/>
        <v>-143.20576</v>
      </c>
      <c r="S104" s="180"/>
      <c r="T104" s="180">
        <f t="shared" si="42"/>
        <v>0</v>
      </c>
      <c r="U104" s="180">
        <v>0</v>
      </c>
      <c r="V104" s="180"/>
      <c r="W104" s="180"/>
      <c r="X104" s="180">
        <f>+R60</f>
        <v>-30.848240000000004</v>
      </c>
      <c r="Y104" s="180"/>
    </row>
    <row r="105" spans="1:25" s="159" customFormat="1" ht="15">
      <c r="A105" s="177" t="b">
        <f t="shared" si="37"/>
        <v>1</v>
      </c>
      <c r="B105" s="293" t="str">
        <f>+modsalario2021!B35</f>
        <v>AC</v>
      </c>
      <c r="C105" s="180">
        <f t="shared" si="38"/>
        <v>997.5</v>
      </c>
      <c r="D105" s="181">
        <f>+'4a semana'!S34</f>
        <v>1097.25</v>
      </c>
      <c r="E105" s="181"/>
      <c r="F105" s="180">
        <f t="shared" si="43"/>
        <v>4189.5</v>
      </c>
      <c r="G105" s="181">
        <f t="shared" si="76"/>
        <v>0</v>
      </c>
      <c r="H105" s="184">
        <f t="shared" si="65"/>
        <v>4189.5</v>
      </c>
      <c r="I105" s="180">
        <f t="shared" si="66"/>
        <v>4189.5</v>
      </c>
      <c r="J105" s="180">
        <f t="shared" si="67"/>
        <v>644.59</v>
      </c>
      <c r="K105" s="180">
        <f t="shared" si="68"/>
        <v>3544.91</v>
      </c>
      <c r="L105" s="182">
        <f t="shared" si="69"/>
        <v>0.064</v>
      </c>
      <c r="M105" s="178">
        <f t="shared" si="70"/>
        <v>226.87424</v>
      </c>
      <c r="N105" s="178">
        <f t="shared" si="71"/>
        <v>12.38</v>
      </c>
      <c r="O105" s="179">
        <f t="shared" si="72"/>
        <v>239.25423999999998</v>
      </c>
      <c r="P105" s="180">
        <f t="shared" si="73"/>
        <v>382.46</v>
      </c>
      <c r="Q105" s="180">
        <f t="shared" si="74"/>
        <v>0</v>
      </c>
      <c r="R105" s="180">
        <f t="shared" si="75"/>
        <v>-143.20576</v>
      </c>
      <c r="S105" s="180"/>
      <c r="T105" s="180">
        <f t="shared" si="42"/>
        <v>0</v>
      </c>
      <c r="U105" s="180">
        <v>0</v>
      </c>
      <c r="V105" s="180"/>
      <c r="W105" s="180"/>
      <c r="X105" s="180">
        <f>+R61</f>
        <v>-30.848240000000004</v>
      </c>
      <c r="Y105" s="180"/>
    </row>
    <row r="106" spans="1:25" s="159" customFormat="1" ht="15">
      <c r="A106" s="177"/>
      <c r="B106" s="292"/>
      <c r="C106" s="180">
        <f>SUM(C78:C103)</f>
        <v>34757.081999999995</v>
      </c>
      <c r="D106" s="180">
        <f>SUM(D78:D103)</f>
        <v>31782.82799999999</v>
      </c>
      <c r="E106" s="181">
        <v>0</v>
      </c>
      <c r="F106" s="180">
        <f t="shared" si="43"/>
        <v>133079.81999999998</v>
      </c>
      <c r="G106" s="180">
        <f>SUM(G78:G102)</f>
        <v>2277.654</v>
      </c>
      <c r="H106" s="184"/>
      <c r="I106" s="180"/>
      <c r="J106" s="180"/>
      <c r="K106" s="180"/>
      <c r="L106" s="182"/>
      <c r="M106" s="178"/>
      <c r="N106" s="178"/>
      <c r="O106" s="179"/>
      <c r="P106" s="180"/>
      <c r="Q106" s="180">
        <f>SUM(Q78:Q98)</f>
        <v>1165.2651487999997</v>
      </c>
      <c r="R106" s="180">
        <f>SUM(R78:R98)</f>
        <v>-556.8935200000002</v>
      </c>
      <c r="S106" s="180"/>
      <c r="T106" s="180">
        <f>SUM(T78:T98)</f>
        <v>485.3065792</v>
      </c>
      <c r="U106" s="180" t="e">
        <f>Q106-T106-#REF!</f>
        <v>#REF!</v>
      </c>
      <c r="V106" s="180"/>
      <c r="W106" s="180"/>
      <c r="X106" s="180">
        <f>SUM(X78:X103)</f>
        <v>-105.47942400000007</v>
      </c>
      <c r="Y106" s="180">
        <f>SUM(Y78:Y98)</f>
        <v>-471.2400640000002</v>
      </c>
    </row>
    <row r="107" spans="1:26" s="159" customFormat="1" ht="15">
      <c r="A107" s="177"/>
      <c r="B107" s="292"/>
      <c r="C107" s="180"/>
      <c r="D107" s="181"/>
      <c r="E107" s="181">
        <v>0</v>
      </c>
      <c r="F107" s="180"/>
      <c r="G107" s="181">
        <v>0</v>
      </c>
      <c r="H107" s="184"/>
      <c r="I107" s="180"/>
      <c r="J107" s="180"/>
      <c r="K107" s="180"/>
      <c r="L107" s="182"/>
      <c r="M107" s="178"/>
      <c r="N107" s="178"/>
      <c r="O107" s="179"/>
      <c r="P107" s="180"/>
      <c r="Q107" s="180"/>
      <c r="R107" s="180"/>
      <c r="S107" s="180"/>
      <c r="T107" s="180"/>
      <c r="U107" s="180"/>
      <c r="V107" s="180"/>
      <c r="W107" s="180"/>
      <c r="X107" s="180"/>
      <c r="Z107" s="180"/>
    </row>
    <row r="108" spans="1:27" s="159" customFormat="1" ht="15">
      <c r="A108" s="177"/>
      <c r="B108" s="292"/>
      <c r="C108" s="180"/>
      <c r="D108" s="181"/>
      <c r="E108" s="181"/>
      <c r="F108" s="180"/>
      <c r="G108" s="181"/>
      <c r="H108" s="184"/>
      <c r="I108" s="180"/>
      <c r="J108" s="180"/>
      <c r="K108" s="180"/>
      <c r="L108" s="182"/>
      <c r="M108" s="178"/>
      <c r="N108" s="178"/>
      <c r="O108" s="179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AA108" s="180"/>
    </row>
    <row r="109" spans="1:27" s="159" customFormat="1" ht="15">
      <c r="A109" s="177"/>
      <c r="B109" s="292"/>
      <c r="C109" s="180"/>
      <c r="D109" s="181"/>
      <c r="E109" s="181"/>
      <c r="F109" s="180"/>
      <c r="G109" s="181"/>
      <c r="H109" s="184"/>
      <c r="I109" s="180"/>
      <c r="J109" s="180"/>
      <c r="K109" s="180"/>
      <c r="L109" s="182"/>
      <c r="M109" s="178"/>
      <c r="N109" s="178"/>
      <c r="O109" s="179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AA109" s="180"/>
    </row>
    <row r="110" spans="1:27" ht="15">
      <c r="A110" s="177"/>
      <c r="B110" s="292"/>
      <c r="C110" s="180"/>
      <c r="D110" s="181"/>
      <c r="E110" s="181"/>
      <c r="F110" s="180"/>
      <c r="G110" s="181"/>
      <c r="H110" s="184"/>
      <c r="I110" s="180"/>
      <c r="J110" s="172"/>
      <c r="K110" s="172"/>
      <c r="L110" s="174"/>
      <c r="M110" s="178"/>
      <c r="N110" s="178"/>
      <c r="O110" s="179"/>
      <c r="P110" s="172"/>
      <c r="Q110" s="172"/>
      <c r="R110" s="180"/>
      <c r="S110" s="172"/>
      <c r="T110" s="180"/>
      <c r="U110" s="180"/>
      <c r="V110" s="180"/>
      <c r="W110" s="180"/>
      <c r="X110" s="180"/>
      <c r="AA110" s="172"/>
    </row>
    <row r="111" spans="1:24" ht="15">
      <c r="A111" s="177"/>
      <c r="B111" s="292"/>
      <c r="C111" s="180"/>
      <c r="D111" s="181"/>
      <c r="E111" s="181"/>
      <c r="F111" s="180"/>
      <c r="G111" s="181"/>
      <c r="H111" s="184"/>
      <c r="I111" s="180"/>
      <c r="J111" s="172"/>
      <c r="K111" s="172"/>
      <c r="L111" s="174"/>
      <c r="M111" s="178"/>
      <c r="N111" s="178"/>
      <c r="O111" s="179"/>
      <c r="P111" s="172"/>
      <c r="Q111" s="172"/>
      <c r="R111" s="180"/>
      <c r="S111" s="180"/>
      <c r="T111" s="180"/>
      <c r="U111" s="180"/>
      <c r="V111" s="180"/>
      <c r="W111" s="180"/>
      <c r="X111" s="180"/>
    </row>
    <row r="112" spans="1:24" ht="15">
      <c r="A112" s="177"/>
      <c r="B112" s="292"/>
      <c r="C112" s="180"/>
      <c r="D112" s="181"/>
      <c r="E112" s="181"/>
      <c r="F112" s="180"/>
      <c r="G112" s="181"/>
      <c r="H112" s="184"/>
      <c r="I112" s="180"/>
      <c r="J112" s="172"/>
      <c r="K112" s="172"/>
      <c r="L112" s="174"/>
      <c r="M112" s="178"/>
      <c r="N112" s="178"/>
      <c r="O112" s="179"/>
      <c r="P112" s="172"/>
      <c r="Q112" s="172"/>
      <c r="R112" s="180"/>
      <c r="S112" s="180"/>
      <c r="T112" s="180"/>
      <c r="U112" s="180"/>
      <c r="V112" s="180"/>
      <c r="W112" s="180"/>
      <c r="X112" s="180"/>
    </row>
    <row r="113" spans="1:24" ht="15">
      <c r="A113" s="177"/>
      <c r="B113" s="292"/>
      <c r="C113" s="180"/>
      <c r="D113" s="181"/>
      <c r="E113" s="181"/>
      <c r="F113" s="180"/>
      <c r="G113" s="181"/>
      <c r="H113" s="184"/>
      <c r="I113" s="180"/>
      <c r="J113" s="180"/>
      <c r="K113" s="180"/>
      <c r="L113" s="182"/>
      <c r="M113" s="178"/>
      <c r="N113" s="178"/>
      <c r="O113" s="179"/>
      <c r="P113" s="180"/>
      <c r="Q113" s="180"/>
      <c r="R113" s="180"/>
      <c r="S113" s="180"/>
      <c r="T113" s="180"/>
      <c r="U113" s="180"/>
      <c r="V113" s="180"/>
      <c r="W113" s="180"/>
      <c r="X113" s="180"/>
    </row>
    <row r="114" spans="1:24" s="159" customFormat="1" ht="15">
      <c r="A114" s="177"/>
      <c r="B114" s="292"/>
      <c r="C114" s="180"/>
      <c r="D114" s="181"/>
      <c r="E114" s="181"/>
      <c r="F114" s="180"/>
      <c r="G114" s="181"/>
      <c r="H114" s="184"/>
      <c r="I114" s="180"/>
      <c r="J114" s="180"/>
      <c r="K114" s="180"/>
      <c r="L114" s="182"/>
      <c r="M114" s="178"/>
      <c r="N114" s="178"/>
      <c r="O114" s="179"/>
      <c r="P114" s="180"/>
      <c r="Q114" s="180"/>
      <c r="R114" s="180"/>
      <c r="S114" s="180"/>
      <c r="T114" s="180"/>
      <c r="U114" s="180"/>
      <c r="V114" s="180"/>
      <c r="W114" s="180"/>
      <c r="X114" s="180"/>
    </row>
    <row r="115" spans="1:24" s="159" customFormat="1" ht="15">
      <c r="A115" s="177"/>
      <c r="B115" s="292"/>
      <c r="C115" s="180"/>
      <c r="D115" s="181"/>
      <c r="E115" s="181"/>
      <c r="F115" s="180"/>
      <c r="G115" s="181"/>
      <c r="H115" s="184"/>
      <c r="I115" s="180"/>
      <c r="J115" s="180"/>
      <c r="K115" s="180"/>
      <c r="L115" s="182"/>
      <c r="M115" s="178"/>
      <c r="N115" s="178"/>
      <c r="O115" s="179"/>
      <c r="P115" s="180"/>
      <c r="Q115" s="180"/>
      <c r="R115" s="180"/>
      <c r="S115" s="180"/>
      <c r="T115" s="180"/>
      <c r="U115" s="180"/>
      <c r="V115" s="180"/>
      <c r="W115" s="180"/>
      <c r="X115" s="180"/>
    </row>
    <row r="116" spans="1:24" s="159" customFormat="1" ht="15">
      <c r="A116" s="177"/>
      <c r="B116" s="292"/>
      <c r="C116" s="180"/>
      <c r="D116" s="181"/>
      <c r="E116" s="181"/>
      <c r="F116" s="180"/>
      <c r="G116" s="181"/>
      <c r="H116" s="184"/>
      <c r="I116" s="180"/>
      <c r="J116" s="180"/>
      <c r="K116" s="180"/>
      <c r="L116" s="182"/>
      <c r="M116" s="178"/>
      <c r="N116" s="178"/>
      <c r="O116" s="179"/>
      <c r="P116" s="180"/>
      <c r="Q116" s="180"/>
      <c r="R116" s="180"/>
      <c r="S116" s="180"/>
      <c r="T116" s="180"/>
      <c r="U116" s="180"/>
      <c r="V116" s="180"/>
      <c r="W116" s="180"/>
      <c r="X116" s="180"/>
    </row>
    <row r="117" spans="1:24" s="159" customFormat="1" ht="15">
      <c r="A117" s="177"/>
      <c r="B117" s="292"/>
      <c r="C117" s="180"/>
      <c r="D117" s="181"/>
      <c r="E117" s="181"/>
      <c r="F117" s="180"/>
      <c r="G117" s="181"/>
      <c r="H117" s="184"/>
      <c r="I117" s="180"/>
      <c r="J117" s="180"/>
      <c r="K117" s="180"/>
      <c r="L117" s="182"/>
      <c r="M117" s="178"/>
      <c r="N117" s="178"/>
      <c r="O117" s="179"/>
      <c r="P117" s="180"/>
      <c r="Q117" s="180"/>
      <c r="R117" s="180"/>
      <c r="S117" s="180"/>
      <c r="T117" s="180"/>
      <c r="U117" s="180"/>
      <c r="V117" s="180"/>
      <c r="W117" s="180"/>
      <c r="X117" s="180"/>
    </row>
    <row r="118" spans="1:24" s="159" customFormat="1" ht="15">
      <c r="A118" s="177"/>
      <c r="B118" s="292"/>
      <c r="C118" s="180"/>
      <c r="D118" s="181"/>
      <c r="E118" s="181"/>
      <c r="F118" s="180"/>
      <c r="G118" s="167"/>
      <c r="H118" s="184"/>
      <c r="I118" s="180"/>
      <c r="J118" s="180"/>
      <c r="K118" s="180"/>
      <c r="L118" s="182"/>
      <c r="M118" s="178"/>
      <c r="N118" s="178"/>
      <c r="O118" s="179"/>
      <c r="P118" s="180"/>
      <c r="Q118" s="180"/>
      <c r="R118" s="180"/>
      <c r="S118" s="180"/>
      <c r="T118" s="180"/>
      <c r="U118" s="180"/>
      <c r="V118" s="180"/>
      <c r="W118" s="180"/>
      <c r="X118" s="180"/>
    </row>
    <row r="119" spans="1:24" s="159" customFormat="1" ht="15">
      <c r="A119" s="177"/>
      <c r="B119" s="292"/>
      <c r="C119" s="180"/>
      <c r="D119" s="181"/>
      <c r="E119" s="181"/>
      <c r="F119" s="180"/>
      <c r="G119" s="167"/>
      <c r="H119" s="184"/>
      <c r="I119" s="180"/>
      <c r="J119" s="180"/>
      <c r="K119" s="180"/>
      <c r="L119" s="182"/>
      <c r="M119" s="178"/>
      <c r="N119" s="178"/>
      <c r="O119" s="179"/>
      <c r="P119" s="180"/>
      <c r="Q119" s="180"/>
      <c r="R119" s="180"/>
      <c r="S119" s="180"/>
      <c r="T119" s="180"/>
      <c r="U119" s="180"/>
      <c r="V119" s="180"/>
      <c r="W119" s="180"/>
      <c r="X119" s="180"/>
    </row>
    <row r="120" spans="1:17" ht="15">
      <c r="A120" s="177"/>
      <c r="B120" s="292"/>
      <c r="C120" s="165"/>
      <c r="D120" s="165"/>
      <c r="E120" s="181"/>
      <c r="F120" s="165"/>
      <c r="G120" s="165"/>
      <c r="H120" s="165"/>
      <c r="I120" s="165"/>
      <c r="J120" s="182"/>
      <c r="K120" s="165"/>
      <c r="L120" s="165"/>
      <c r="M120" s="165"/>
      <c r="N120" s="165"/>
      <c r="O120" s="165"/>
      <c r="P120" s="165"/>
      <c r="Q120" s="159"/>
    </row>
    <row r="121" spans="1:17" ht="15">
      <c r="A121" s="177"/>
      <c r="B121" s="292"/>
      <c r="C121" s="180"/>
      <c r="D121" s="180"/>
      <c r="E121" s="181"/>
      <c r="F121" s="180"/>
      <c r="G121" s="180"/>
      <c r="H121" s="165"/>
      <c r="I121" s="165"/>
      <c r="J121" s="182"/>
      <c r="K121" s="165"/>
      <c r="L121" s="165"/>
      <c r="M121" s="165"/>
      <c r="N121" s="165"/>
      <c r="O121" s="165"/>
      <c r="P121" s="165"/>
      <c r="Q121" s="159"/>
    </row>
    <row r="122" spans="1:17" ht="15">
      <c r="A122" s="177"/>
      <c r="B122" s="292"/>
      <c r="C122" s="180"/>
      <c r="D122" s="181"/>
      <c r="E122" s="181"/>
      <c r="F122" s="165"/>
      <c r="G122" s="165"/>
      <c r="H122" s="165"/>
      <c r="I122" s="165"/>
      <c r="J122" s="182"/>
      <c r="K122" s="165"/>
      <c r="L122" s="165"/>
      <c r="M122" s="165"/>
      <c r="N122" s="165"/>
      <c r="O122" s="165"/>
      <c r="P122" s="165"/>
      <c r="Q122" s="159"/>
    </row>
    <row r="123" spans="1:17" ht="15">
      <c r="A123" s="177"/>
      <c r="B123" s="292"/>
      <c r="C123" s="180"/>
      <c r="D123" s="181"/>
      <c r="E123" s="181"/>
      <c r="F123" s="165"/>
      <c r="G123" s="165"/>
      <c r="H123" s="165"/>
      <c r="I123" s="165"/>
      <c r="J123" s="182"/>
      <c r="K123" s="165"/>
      <c r="L123" s="165"/>
      <c r="M123" s="165"/>
      <c r="N123" s="165"/>
      <c r="O123" s="165"/>
      <c r="P123" s="165"/>
      <c r="Q123" s="159"/>
    </row>
    <row r="124" spans="1:17" ht="15">
      <c r="A124" s="177"/>
      <c r="B124" s="292"/>
      <c r="C124" s="180"/>
      <c r="D124" s="181"/>
      <c r="E124" s="181"/>
      <c r="F124" s="165"/>
      <c r="G124" s="165"/>
      <c r="H124" s="165"/>
      <c r="I124" s="165"/>
      <c r="J124" s="182"/>
      <c r="K124" s="165"/>
      <c r="L124" s="165"/>
      <c r="M124" s="165"/>
      <c r="N124" s="165"/>
      <c r="O124" s="165"/>
      <c r="P124" s="165"/>
      <c r="Q124" s="159"/>
    </row>
    <row r="125" spans="3:17" ht="15"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</row>
    <row r="126" spans="3:17" ht="15"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</row>
    <row r="127" spans="3:17" ht="15"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</row>
    <row r="128" spans="3:17" ht="15"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</row>
    <row r="129" spans="3:17" ht="15"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</row>
    <row r="130" spans="3:17" ht="15"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</row>
    <row r="131" spans="3:17" ht="15"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</row>
    <row r="132" spans="3:17" ht="15"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</row>
    <row r="133" spans="3:17" ht="15"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</row>
    <row r="134" spans="3:17" ht="15"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</row>
    <row r="135" spans="3:17" ht="15"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</row>
    <row r="136" spans="3:17" ht="15"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</row>
    <row r="137" spans="3:17" ht="15"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</row>
    <row r="138" spans="3:17" ht="15"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</row>
  </sheetData>
  <sheetProtection/>
  <mergeCells count="3">
    <mergeCell ref="I16:M16"/>
    <mergeCell ref="A33:B33"/>
    <mergeCell ref="A77:B77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2:AE40"/>
  <sheetViews>
    <sheetView view="pageBreakPreview" zoomScale="60" zoomScalePageLayoutView="0" workbookViewId="0" topLeftCell="A1">
      <pane xSplit="2" topLeftCell="N1" activePane="topRight" state="frozen"/>
      <selection pane="topLeft" activeCell="A4" sqref="A4"/>
      <selection pane="topRight" activeCell="V8" sqref="V8"/>
    </sheetView>
  </sheetViews>
  <sheetFormatPr defaultColWidth="11.421875" defaultRowHeight="15"/>
  <cols>
    <col min="1" max="1" width="7.57421875" style="111" customWidth="1"/>
    <col min="2" max="2" width="38.57421875" style="0" customWidth="1"/>
    <col min="3" max="3" width="16.57421875" style="0" customWidth="1"/>
    <col min="4" max="4" width="13.00390625" style="0" customWidth="1"/>
    <col min="5" max="5" width="15.00390625" style="0" customWidth="1"/>
    <col min="6" max="6" width="23.7109375" style="112" customWidth="1"/>
    <col min="7" max="7" width="13.00390625" style="112" customWidth="1"/>
    <col min="8" max="8" width="13.00390625" style="0" customWidth="1"/>
    <col min="9" max="9" width="15.57421875" style="0" customWidth="1"/>
    <col min="10" max="10" width="14.7109375" style="0" customWidth="1"/>
    <col min="11" max="12" width="13.00390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138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15</v>
      </c>
      <c r="J7" s="38" t="e">
        <f aca="true" t="shared" si="0" ref="J7:J14">G7*I7</f>
        <v>#REF!</v>
      </c>
      <c r="K7" s="38" t="e">
        <f>J7*0.1</f>
        <v>#REF!</v>
      </c>
      <c r="L7" s="38" t="e">
        <f>J7*0.1</f>
        <v>#REF!</v>
      </c>
      <c r="M7" s="38" t="e">
        <f>J7*0.15</f>
        <v>#REF!</v>
      </c>
      <c r="N7" s="38">
        <v>10</v>
      </c>
      <c r="O7" s="38" t="e">
        <f>SUM(J7:N7)</f>
        <v>#REF!</v>
      </c>
      <c r="P7" s="31" t="e">
        <f>'calculo ISR OCT'!N34</f>
        <v>#REF!</v>
      </c>
      <c r="Q7" s="31" t="e">
        <f>'calculo ISR OCT'!O34</f>
        <v>#REF!</v>
      </c>
      <c r="R7" s="31">
        <v>0</v>
      </c>
      <c r="S7" s="31" t="e">
        <f>P7-Q7</f>
        <v>#REF!</v>
      </c>
      <c r="T7" s="31"/>
      <c r="U7" s="31" t="e">
        <f>R7+S7+T7</f>
        <v>#REF!</v>
      </c>
      <c r="V7" s="31" t="e">
        <f>O7-U7</f>
        <v>#REF!</v>
      </c>
      <c r="W7" s="31"/>
      <c r="X7" s="31" t="e">
        <f>V7-W7</f>
        <v>#REF!</v>
      </c>
      <c r="Y7" s="104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15</v>
      </c>
      <c r="J8" s="38" t="e">
        <f t="shared" si="0"/>
        <v>#REF!</v>
      </c>
      <c r="K8" s="38" t="e">
        <f>J8*0.1</f>
        <v>#REF!</v>
      </c>
      <c r="L8" s="38" t="e">
        <f>J8*0.1</f>
        <v>#REF!</v>
      </c>
      <c r="M8" s="38" t="e">
        <f>J8*0.15</f>
        <v>#REF!</v>
      </c>
      <c r="N8" s="38">
        <v>10</v>
      </c>
      <c r="O8" s="38" t="e">
        <f aca="true" t="shared" si="1" ref="O8:O14">SUM(J8:N8)</f>
        <v>#REF!</v>
      </c>
      <c r="P8" s="31" t="e">
        <f>'calculo ISR OCT'!N35</f>
        <v>#REF!</v>
      </c>
      <c r="Q8" s="31" t="e">
        <f>'calculo ISR OCT'!O35</f>
        <v>#REF!</v>
      </c>
      <c r="R8" s="31">
        <v>0</v>
      </c>
      <c r="S8" s="31" t="e">
        <f aca="true" t="shared" si="2" ref="S8:S14">P8-Q8</f>
        <v>#REF!</v>
      </c>
      <c r="T8" s="31"/>
      <c r="U8" s="31" t="e">
        <f aca="true" t="shared" si="3" ref="U8:U14">R8+S8+T8</f>
        <v>#REF!</v>
      </c>
      <c r="V8" s="31" t="e">
        <f aca="true" t="shared" si="4" ref="V8:V14">O8-U8</f>
        <v>#REF!</v>
      </c>
      <c r="W8" s="31"/>
      <c r="X8" s="31" t="e">
        <f aca="true" t="shared" si="5" ref="X8:X14">V8-W8</f>
        <v>#REF!</v>
      </c>
      <c r="Y8" s="104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15</v>
      </c>
      <c r="J9" s="38" t="e">
        <f t="shared" si="0"/>
        <v>#REF!</v>
      </c>
      <c r="K9" s="38" t="e">
        <f>J9*0.075</f>
        <v>#REF!</v>
      </c>
      <c r="L9" s="38" t="e">
        <f aca="true" t="shared" si="6" ref="L9:L14">J9*0.1</f>
        <v>#REF!</v>
      </c>
      <c r="M9" s="38" t="e">
        <f aca="true" t="shared" si="7" ref="M9:M14">J9*0.15</f>
        <v>#REF!</v>
      </c>
      <c r="N9" s="38">
        <v>10</v>
      </c>
      <c r="O9" s="38" t="e">
        <f t="shared" si="1"/>
        <v>#REF!</v>
      </c>
      <c r="P9" s="31" t="e">
        <f>'calculo ISR OCT'!N36</f>
        <v>#REF!</v>
      </c>
      <c r="Q9" s="31" t="e">
        <f>'calculo ISR OCT'!O36</f>
        <v>#REF!</v>
      </c>
      <c r="R9" s="31">
        <v>0</v>
      </c>
      <c r="S9" s="31" t="e">
        <f t="shared" si="2"/>
        <v>#REF!</v>
      </c>
      <c r="T9" s="31"/>
      <c r="U9" s="31" t="e">
        <f t="shared" si="3"/>
        <v>#REF!</v>
      </c>
      <c r="V9" s="31" t="e">
        <f t="shared" si="4"/>
        <v>#REF!</v>
      </c>
      <c r="W9" s="31"/>
      <c r="X9" s="31" t="e">
        <f t="shared" si="5"/>
        <v>#REF!</v>
      </c>
      <c r="Y9" s="104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15</v>
      </c>
      <c r="J10" s="38" t="e">
        <f t="shared" si="0"/>
        <v>#REF!</v>
      </c>
      <c r="K10" s="38" t="e">
        <f>J10*0.1</f>
        <v>#REF!</v>
      </c>
      <c r="L10" s="38" t="e">
        <f t="shared" si="6"/>
        <v>#REF!</v>
      </c>
      <c r="M10" s="38" t="e">
        <f t="shared" si="7"/>
        <v>#REF!</v>
      </c>
      <c r="N10" s="38">
        <v>10</v>
      </c>
      <c r="O10" s="38" t="e">
        <f t="shared" si="1"/>
        <v>#REF!</v>
      </c>
      <c r="P10" s="31" t="e">
        <f>'calculo ISR OCT'!N37</f>
        <v>#REF!</v>
      </c>
      <c r="Q10" s="31" t="e">
        <f>'calculo ISR OCT'!O37</f>
        <v>#REF!</v>
      </c>
      <c r="R10" s="31">
        <v>0</v>
      </c>
      <c r="S10" s="31" t="e">
        <f t="shared" si="2"/>
        <v>#REF!</v>
      </c>
      <c r="T10" s="31"/>
      <c r="U10" s="31" t="e">
        <f t="shared" si="3"/>
        <v>#REF!</v>
      </c>
      <c r="V10" s="31" t="e">
        <f t="shared" si="4"/>
        <v>#REF!</v>
      </c>
      <c r="W10" s="31"/>
      <c r="X10" s="31" t="e">
        <f>V10-W10</f>
        <v>#REF!</v>
      </c>
      <c r="Y10" s="105">
        <v>2714169867</v>
      </c>
      <c r="Z10" s="40"/>
      <c r="AA10" s="56"/>
      <c r="AB10" s="25"/>
      <c r="AC10" s="25"/>
      <c r="AD10" s="25"/>
      <c r="AE10" s="25"/>
    </row>
    <row r="11" spans="1:31" ht="1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15</v>
      </c>
      <c r="J11" s="38" t="e">
        <f t="shared" si="0"/>
        <v>#REF!</v>
      </c>
      <c r="K11" s="38" t="e">
        <f>J11*0.1</f>
        <v>#REF!</v>
      </c>
      <c r="L11" s="38" t="e">
        <f t="shared" si="6"/>
        <v>#REF!</v>
      </c>
      <c r="M11" s="38" t="e">
        <f t="shared" si="7"/>
        <v>#REF!</v>
      </c>
      <c r="N11" s="38">
        <v>10</v>
      </c>
      <c r="O11" s="38" t="e">
        <f t="shared" si="1"/>
        <v>#REF!</v>
      </c>
      <c r="P11" s="31" t="e">
        <f>'calculo ISR OCT'!N38</f>
        <v>#REF!</v>
      </c>
      <c r="Q11" s="31" t="e">
        <f>'calculo ISR OCT'!O38</f>
        <v>#REF!</v>
      </c>
      <c r="R11" s="31">
        <v>0</v>
      </c>
      <c r="S11" s="31" t="e">
        <f t="shared" si="2"/>
        <v>#REF!</v>
      </c>
      <c r="T11" s="31"/>
      <c r="U11" s="31" t="e">
        <f t="shared" si="3"/>
        <v>#REF!</v>
      </c>
      <c r="V11" s="31" t="e">
        <f t="shared" si="4"/>
        <v>#REF!</v>
      </c>
      <c r="W11" s="31"/>
      <c r="X11" s="31" t="e">
        <f t="shared" si="5"/>
        <v>#REF!</v>
      </c>
      <c r="Y11" s="106">
        <v>2753982734</v>
      </c>
      <c r="Z11" s="40"/>
      <c r="AA11" s="57"/>
      <c r="AB11" s="25"/>
      <c r="AC11" s="25"/>
      <c r="AD11" s="25"/>
      <c r="AE11" s="25"/>
    </row>
    <row r="12" spans="1:31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14</v>
      </c>
      <c r="J12" s="38" t="e">
        <f t="shared" si="0"/>
        <v>#REF!</v>
      </c>
      <c r="K12" s="38" t="e">
        <f>J12*0.05</f>
        <v>#REF!</v>
      </c>
      <c r="L12" s="38" t="e">
        <f t="shared" si="6"/>
        <v>#REF!</v>
      </c>
      <c r="M12" s="38" t="e">
        <f t="shared" si="7"/>
        <v>#REF!</v>
      </c>
      <c r="N12" s="38">
        <v>10</v>
      </c>
      <c r="O12" s="38" t="e">
        <f t="shared" si="1"/>
        <v>#REF!</v>
      </c>
      <c r="P12" s="31" t="e">
        <f>'calculo ISR OCT'!N39</f>
        <v>#REF!</v>
      </c>
      <c r="Q12" s="31" t="e">
        <f>'calculo ISR OCT'!O39</f>
        <v>#REF!</v>
      </c>
      <c r="R12" s="31">
        <v>0</v>
      </c>
      <c r="S12" s="31" t="e">
        <f t="shared" si="2"/>
        <v>#REF!</v>
      </c>
      <c r="T12" s="31"/>
      <c r="U12" s="31" t="e">
        <f t="shared" si="3"/>
        <v>#REF!</v>
      </c>
      <c r="V12" s="31" t="e">
        <f t="shared" si="4"/>
        <v>#REF!</v>
      </c>
      <c r="W12" s="31"/>
      <c r="X12" s="31" t="e">
        <f>V12-W12</f>
        <v>#REF!</v>
      </c>
      <c r="Y12" s="106">
        <v>2758909075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85.12</v>
      </c>
      <c r="H13" s="31" t="e">
        <f>#REF!</f>
        <v>#REF!</v>
      </c>
      <c r="I13" s="55">
        <v>15</v>
      </c>
      <c r="J13" s="38">
        <f t="shared" si="0"/>
        <v>1276.8000000000002</v>
      </c>
      <c r="K13" s="38">
        <f>J13*0.075</f>
        <v>95.76</v>
      </c>
      <c r="L13" s="38">
        <f t="shared" si="6"/>
        <v>127.68000000000002</v>
      </c>
      <c r="M13" s="38">
        <f t="shared" si="7"/>
        <v>191.52</v>
      </c>
      <c r="N13" s="38">
        <v>10</v>
      </c>
      <c r="O13" s="38">
        <f t="shared" si="1"/>
        <v>1701.7600000000002</v>
      </c>
      <c r="P13" s="31">
        <f>'calculo ISR OCT'!N40</f>
        <v>97.89480000000003</v>
      </c>
      <c r="Q13" s="31">
        <f>'calculo ISR OCT'!O40</f>
        <v>200.7</v>
      </c>
      <c r="R13" s="31">
        <v>0</v>
      </c>
      <c r="S13" s="31">
        <f t="shared" si="2"/>
        <v>-102.80519999999996</v>
      </c>
      <c r="T13" s="31"/>
      <c r="U13" s="31">
        <f t="shared" si="3"/>
        <v>-102.80519999999996</v>
      </c>
      <c r="V13" s="31">
        <f t="shared" si="4"/>
        <v>1804.5652000000002</v>
      </c>
      <c r="W13" s="31"/>
      <c r="X13" s="31">
        <f>V13-W13</f>
        <v>1804.5652000000002</v>
      </c>
      <c r="Y13" s="103">
        <v>2783684466</v>
      </c>
      <c r="Z13" s="40"/>
      <c r="AA13" s="25"/>
      <c r="AB13" s="25"/>
      <c r="AC13" s="25"/>
      <c r="AD13" s="25"/>
      <c r="AE13" s="25"/>
    </row>
    <row r="14" spans="1:31" ht="15">
      <c r="A14" s="32" t="s">
        <v>57</v>
      </c>
      <c r="B14" s="28" t="s">
        <v>87</v>
      </c>
      <c r="C14" s="29">
        <v>71098933956</v>
      </c>
      <c r="D14" s="30" t="s">
        <v>59</v>
      </c>
      <c r="E14" s="36" t="s">
        <v>85</v>
      </c>
      <c r="F14" s="36" t="s">
        <v>86</v>
      </c>
      <c r="G14" s="31">
        <v>85.12</v>
      </c>
      <c r="H14" s="31" t="e">
        <f>#REF!</f>
        <v>#REF!</v>
      </c>
      <c r="I14" s="55">
        <v>15</v>
      </c>
      <c r="J14" s="38">
        <f t="shared" si="0"/>
        <v>1276.8000000000002</v>
      </c>
      <c r="K14" s="38">
        <f>J14*0.1</f>
        <v>127.68000000000002</v>
      </c>
      <c r="L14" s="38">
        <f t="shared" si="6"/>
        <v>127.68000000000002</v>
      </c>
      <c r="M14" s="38">
        <f t="shared" si="7"/>
        <v>191.52</v>
      </c>
      <c r="N14" s="38">
        <v>10</v>
      </c>
      <c r="O14" s="38">
        <f t="shared" si="1"/>
        <v>1733.6800000000003</v>
      </c>
      <c r="P14" s="31">
        <f>'calculo ISR OCT'!N41</f>
        <v>99.93768000000003</v>
      </c>
      <c r="Q14" s="31">
        <f>'calculo ISR OCT'!O41</f>
        <v>193.8</v>
      </c>
      <c r="R14" s="31">
        <v>0</v>
      </c>
      <c r="S14" s="31">
        <f t="shared" si="2"/>
        <v>-93.86231999999998</v>
      </c>
      <c r="T14" s="31"/>
      <c r="U14" s="31">
        <f t="shared" si="3"/>
        <v>-93.86231999999998</v>
      </c>
      <c r="V14" s="31">
        <f t="shared" si="4"/>
        <v>1827.5423200000002</v>
      </c>
      <c r="W14" s="31"/>
      <c r="X14" s="31">
        <f t="shared" si="5"/>
        <v>1827.5423200000002</v>
      </c>
      <c r="Y14" s="106">
        <v>2710232416</v>
      </c>
      <c r="Z14" s="40"/>
      <c r="AA14" s="25"/>
      <c r="AB14" s="25"/>
      <c r="AC14" s="25"/>
      <c r="AD14" s="25"/>
      <c r="AE14" s="25"/>
    </row>
    <row r="15" spans="1:25" ht="15">
      <c r="A15" s="27"/>
      <c r="B15" s="25"/>
      <c r="C15" s="25"/>
      <c r="D15" s="25"/>
      <c r="E15" s="37"/>
      <c r="F15" s="37"/>
      <c r="G15" s="25"/>
      <c r="H15" s="49"/>
      <c r="I15" s="111"/>
      <c r="J15" s="41" t="e">
        <f aca="true" t="shared" si="8" ref="J15:X15">SUM(J7:J14)</f>
        <v>#REF!</v>
      </c>
      <c r="K15" s="41" t="e">
        <f t="shared" si="8"/>
        <v>#REF!</v>
      </c>
      <c r="L15" s="41" t="e">
        <f t="shared" si="8"/>
        <v>#REF!</v>
      </c>
      <c r="M15" s="41" t="e">
        <f t="shared" si="8"/>
        <v>#REF!</v>
      </c>
      <c r="N15" s="41">
        <f t="shared" si="8"/>
        <v>80</v>
      </c>
      <c r="O15" s="41" t="e">
        <f t="shared" si="8"/>
        <v>#REF!</v>
      </c>
      <c r="P15" s="41" t="e">
        <f t="shared" si="8"/>
        <v>#REF!</v>
      </c>
      <c r="Q15" s="41" t="e">
        <f t="shared" si="8"/>
        <v>#REF!</v>
      </c>
      <c r="R15" s="41">
        <f t="shared" si="8"/>
        <v>0</v>
      </c>
      <c r="S15" s="41" t="e">
        <f t="shared" si="8"/>
        <v>#REF!</v>
      </c>
      <c r="T15" s="41">
        <f t="shared" si="8"/>
        <v>0</v>
      </c>
      <c r="U15" s="41" t="e">
        <f t="shared" si="8"/>
        <v>#REF!</v>
      </c>
      <c r="V15" s="41" t="e">
        <f t="shared" si="8"/>
        <v>#REF!</v>
      </c>
      <c r="W15" s="41">
        <f>SUM(W7:W14)</f>
        <v>0</v>
      </c>
      <c r="X15" s="41" t="e">
        <f t="shared" si="8"/>
        <v>#REF!</v>
      </c>
      <c r="Y15" s="25"/>
    </row>
    <row r="16" spans="9:23" ht="25.5" customHeight="1">
      <c r="I16" s="111"/>
      <c r="W16" s="62"/>
    </row>
    <row r="17" spans="3:24" ht="15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4"/>
      <c r="N17" s="341" t="s">
        <v>50</v>
      </c>
      <c r="O17" s="33"/>
      <c r="P17" s="341" t="s">
        <v>51</v>
      </c>
      <c r="W17" s="62" t="s">
        <v>97</v>
      </c>
      <c r="X17" s="40"/>
    </row>
    <row r="18" spans="3:23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4" t="s">
        <v>49</v>
      </c>
      <c r="N18" s="342"/>
      <c r="O18" s="33"/>
      <c r="P18" s="342"/>
      <c r="U18" s="40"/>
      <c r="W18" s="62"/>
    </row>
    <row r="19" spans="2:24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M15</f>
        <v>#REF!</v>
      </c>
      <c r="G19" s="46">
        <f>N15</f>
        <v>80</v>
      </c>
      <c r="H19" s="43" t="e">
        <f aca="true" t="shared" si="9" ref="H19:N19">O15</f>
        <v>#REF!</v>
      </c>
      <c r="I19" s="43" t="e">
        <f t="shared" si="9"/>
        <v>#REF!</v>
      </c>
      <c r="J19" s="43" t="e">
        <f t="shared" si="9"/>
        <v>#REF!</v>
      </c>
      <c r="K19" s="43">
        <f t="shared" si="9"/>
        <v>0</v>
      </c>
      <c r="L19" s="43" t="e">
        <f t="shared" si="9"/>
        <v>#REF!</v>
      </c>
      <c r="M19" s="43">
        <f t="shared" si="9"/>
        <v>0</v>
      </c>
      <c r="N19" s="43" t="e">
        <f t="shared" si="9"/>
        <v>#REF!</v>
      </c>
      <c r="O19" s="43"/>
      <c r="P19" s="43" t="e">
        <f>V15</f>
        <v>#REF!</v>
      </c>
      <c r="V19" s="40"/>
      <c r="W19" s="40"/>
      <c r="X19" s="40"/>
    </row>
    <row r="20" spans="3:21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  <c r="U20" s="40"/>
    </row>
    <row r="21" spans="3:24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  <c r="U21" s="48"/>
      <c r="V21" s="40"/>
      <c r="W21" s="40"/>
      <c r="X21" s="40"/>
    </row>
    <row r="22" spans="3:16" ht="15">
      <c r="C22" s="40"/>
      <c r="D22" s="40"/>
      <c r="E22" s="40"/>
      <c r="F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3:16" ht="15">
      <c r="C23" s="40" t="e">
        <f>SUM(C19:C22)</f>
        <v>#REF!</v>
      </c>
      <c r="D23" s="40" t="e">
        <f>SUM(D19:D22)</f>
        <v>#REF!</v>
      </c>
      <c r="E23" s="40" t="e">
        <f>SUM(E19:E22)</f>
        <v>#REF!</v>
      </c>
      <c r="F23" s="40" t="e">
        <f>SUM(F19:F22)</f>
        <v>#REF!</v>
      </c>
      <c r="H23" s="40" t="e">
        <f aca="true" t="shared" si="10" ref="H23:N23">SUM(H19:H22)</f>
        <v>#REF!</v>
      </c>
      <c r="I23" s="40" t="e">
        <f t="shared" si="10"/>
        <v>#REF!</v>
      </c>
      <c r="J23" s="40" t="e">
        <f t="shared" si="10"/>
        <v>#REF!</v>
      </c>
      <c r="K23" s="40">
        <f t="shared" si="10"/>
        <v>0</v>
      </c>
      <c r="L23" s="40" t="e">
        <f t="shared" si="10"/>
        <v>#REF!</v>
      </c>
      <c r="M23" s="40">
        <f t="shared" si="10"/>
        <v>0</v>
      </c>
      <c r="N23" s="40" t="e">
        <f t="shared" si="10"/>
        <v>#REF!</v>
      </c>
      <c r="O23" s="40"/>
      <c r="P23" s="40"/>
    </row>
    <row r="24" spans="3:24" ht="1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V24" s="40"/>
      <c r="W24" s="40"/>
      <c r="X24" s="40"/>
    </row>
    <row r="25" spans="9:24" ht="15">
      <c r="I25" s="61" t="s">
        <v>57</v>
      </c>
      <c r="J25" s="61" t="s">
        <v>8</v>
      </c>
      <c r="V25" s="40"/>
      <c r="W25" s="40"/>
      <c r="X25" s="40"/>
    </row>
    <row r="26" spans="7:25" ht="15">
      <c r="G26" s="335" t="s">
        <v>53</v>
      </c>
      <c r="H26" s="335"/>
      <c r="I26" s="40" t="e">
        <f>H19+K19-L19</f>
        <v>#REF!</v>
      </c>
      <c r="J26" s="40" t="e">
        <f>H23+K23-L23</f>
        <v>#REF!</v>
      </c>
      <c r="K26" s="40"/>
      <c r="L26" s="40"/>
      <c r="Y26" s="40"/>
    </row>
    <row r="27" spans="7:12" ht="15">
      <c r="G27" s="335" t="s">
        <v>54</v>
      </c>
      <c r="H27" s="335"/>
      <c r="I27" s="40" t="e">
        <f>I26*0.06</f>
        <v>#REF!</v>
      </c>
      <c r="J27" s="40" t="e">
        <f>J26*0.06</f>
        <v>#REF!</v>
      </c>
      <c r="K27" s="40"/>
      <c r="L27" s="40"/>
    </row>
    <row r="28" spans="7:17" ht="15">
      <c r="G28" s="335" t="s">
        <v>55</v>
      </c>
      <c r="H28" s="335"/>
      <c r="I28" s="40" t="e">
        <f>H19*0.02</f>
        <v>#REF!</v>
      </c>
      <c r="J28" s="40" t="e">
        <f>H23*0.02</f>
        <v>#REF!</v>
      </c>
      <c r="K28" s="40"/>
      <c r="L28" s="40"/>
      <c r="Q28" s="48"/>
    </row>
    <row r="29" spans="7:12" ht="15.75" thickBot="1">
      <c r="G29" s="335" t="s">
        <v>36</v>
      </c>
      <c r="H29" s="335"/>
      <c r="I29" s="44">
        <f>'COP TUXTLA'!S85</f>
        <v>25169.65620299588</v>
      </c>
      <c r="J29" s="44">
        <f>I29</f>
        <v>25169.65620299588</v>
      </c>
      <c r="K29" s="43"/>
      <c r="L29" s="43"/>
    </row>
    <row r="30" spans="7:12" ht="15">
      <c r="G30" s="335" t="s">
        <v>30</v>
      </c>
      <c r="H30" s="335"/>
      <c r="I30" s="40" t="e">
        <f>SUM(I26:I29)</f>
        <v>#REF!</v>
      </c>
      <c r="J30" s="40" t="e">
        <f>SUM(J26:J29)</f>
        <v>#REF!</v>
      </c>
      <c r="K30" s="54"/>
      <c r="L30" s="54"/>
    </row>
    <row r="31" spans="7:12" ht="15.75" thickBot="1">
      <c r="G31" s="335" t="s">
        <v>62</v>
      </c>
      <c r="H31" s="335"/>
      <c r="I31" s="42" t="e">
        <f>I30*0.16</f>
        <v>#REF!</v>
      </c>
      <c r="J31" s="42" t="e">
        <f>J30*0.16</f>
        <v>#REF!</v>
      </c>
      <c r="K31" s="54"/>
      <c r="L31" s="54"/>
    </row>
    <row r="32" spans="7:12" ht="15">
      <c r="G32" s="335" t="s">
        <v>8</v>
      </c>
      <c r="H32" s="335"/>
      <c r="I32" s="40" t="e">
        <f>I30+I31</f>
        <v>#REF!</v>
      </c>
      <c r="J32" s="40" t="e">
        <f>J30+J31</f>
        <v>#REF!</v>
      </c>
      <c r="K32" s="54"/>
      <c r="L32" s="54"/>
    </row>
    <row r="33" ht="15">
      <c r="J33" s="40"/>
    </row>
    <row r="34" ht="15">
      <c r="J34" s="40" t="e">
        <f>J32+J33</f>
        <v>#REF!</v>
      </c>
    </row>
    <row r="36" spans="7:11" ht="15">
      <c r="G36" s="52"/>
      <c r="H36" s="53"/>
      <c r="I36" s="53"/>
      <c r="J36" s="53"/>
      <c r="K36" s="53"/>
    </row>
    <row r="38" ht="15">
      <c r="M38" s="40"/>
    </row>
    <row r="39" ht="15">
      <c r="M39" s="40"/>
    </row>
    <row r="40" ht="15">
      <c r="M40" s="40"/>
    </row>
  </sheetData>
  <sheetProtection/>
  <mergeCells count="30">
    <mergeCell ref="I4:I5"/>
    <mergeCell ref="J4:N4"/>
    <mergeCell ref="O4:O5"/>
    <mergeCell ref="G32:H32"/>
    <mergeCell ref="G26:H26"/>
    <mergeCell ref="G27:H27"/>
    <mergeCell ref="G28:H28"/>
    <mergeCell ref="G29:H29"/>
    <mergeCell ref="G30:H30"/>
    <mergeCell ref="G31:H31"/>
    <mergeCell ref="F4:F5"/>
    <mergeCell ref="G4:G5"/>
    <mergeCell ref="H4:H5"/>
    <mergeCell ref="W4:X4"/>
    <mergeCell ref="A6:B6"/>
    <mergeCell ref="C17:G17"/>
    <mergeCell ref="H17:H18"/>
    <mergeCell ref="I17:M17"/>
    <mergeCell ref="N17:N18"/>
    <mergeCell ref="P17:P18"/>
    <mergeCell ref="P4:T4"/>
    <mergeCell ref="U4:U5"/>
    <mergeCell ref="V4:V5"/>
    <mergeCell ref="A2:I2"/>
    <mergeCell ref="A3:I3"/>
    <mergeCell ref="A4:A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" footer="0"/>
  <pageSetup horizontalDpi="120" verticalDpi="120" orientation="landscape" scale="3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2:AE40"/>
  <sheetViews>
    <sheetView zoomScalePageLayoutView="0" workbookViewId="0" topLeftCell="A1">
      <pane xSplit="2" topLeftCell="R1" activePane="topRight" state="frozen"/>
      <selection pane="topLeft" activeCell="A4" sqref="A4"/>
      <selection pane="topRight" activeCell="W12" sqref="W12"/>
    </sheetView>
  </sheetViews>
  <sheetFormatPr defaultColWidth="11.421875" defaultRowHeight="15"/>
  <cols>
    <col min="1" max="1" width="7.57421875" style="102" customWidth="1"/>
    <col min="2" max="2" width="38.57421875" style="0" customWidth="1"/>
    <col min="3" max="3" width="16.57421875" style="0" customWidth="1"/>
    <col min="4" max="4" width="13.00390625" style="0" customWidth="1"/>
    <col min="5" max="5" width="15.00390625" style="0" customWidth="1"/>
    <col min="6" max="6" width="23.7109375" style="101" customWidth="1"/>
    <col min="7" max="7" width="13.00390625" style="101" customWidth="1"/>
    <col min="8" max="8" width="13.00390625" style="0" customWidth="1"/>
    <col min="9" max="9" width="15.57421875" style="0" customWidth="1"/>
    <col min="10" max="10" width="14.7109375" style="0" customWidth="1"/>
    <col min="11" max="12" width="13.00390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122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15</v>
      </c>
      <c r="J7" s="38" t="e">
        <f>G7*I7</f>
        <v>#REF!</v>
      </c>
      <c r="K7" s="38" t="e">
        <f>J7*0.075</f>
        <v>#REF!</v>
      </c>
      <c r="L7" s="38" t="e">
        <f>J7*0.1</f>
        <v>#REF!</v>
      </c>
      <c r="M7" s="38" t="e">
        <f>J7*0.15</f>
        <v>#REF!</v>
      </c>
      <c r="N7" s="38">
        <v>10</v>
      </c>
      <c r="O7" s="38" t="e">
        <f>SUM(J7:N7)</f>
        <v>#REF!</v>
      </c>
      <c r="P7" s="31" t="e">
        <f>'calculo ISR SEP '!N34</f>
        <v>#REF!</v>
      </c>
      <c r="Q7" s="31" t="e">
        <f>'calculo ISR SEP '!O34</f>
        <v>#REF!</v>
      </c>
      <c r="R7" s="31">
        <v>0</v>
      </c>
      <c r="S7" s="31" t="e">
        <f>P7-Q7</f>
        <v>#REF!</v>
      </c>
      <c r="T7" s="31"/>
      <c r="U7" s="31" t="e">
        <f>R7+S7+T7</f>
        <v>#REF!</v>
      </c>
      <c r="V7" s="31" t="e">
        <f>O7-U7</f>
        <v>#REF!</v>
      </c>
      <c r="W7" s="31"/>
      <c r="X7" s="31" t="e">
        <f>V7-W7</f>
        <v>#REF!</v>
      </c>
      <c r="Y7" s="104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15</v>
      </c>
      <c r="J8" s="38" t="e">
        <f aca="true" t="shared" si="0" ref="J8:J14">G8*I8</f>
        <v>#REF!</v>
      </c>
      <c r="K8" s="38" t="e">
        <f>J8*0.1</f>
        <v>#REF!</v>
      </c>
      <c r="L8" s="38" t="e">
        <f aca="true" t="shared" si="1" ref="L8:L14">J8*0.1</f>
        <v>#REF!</v>
      </c>
      <c r="M8" s="38" t="e">
        <f aca="true" t="shared" si="2" ref="M8:M14">J8*0.15</f>
        <v>#REF!</v>
      </c>
      <c r="N8" s="38">
        <v>10</v>
      </c>
      <c r="O8" s="38" t="e">
        <f aca="true" t="shared" si="3" ref="O8:O14">SUM(J8:N8)</f>
        <v>#REF!</v>
      </c>
      <c r="P8" s="31" t="e">
        <f>'calculo ISR SEP '!N35</f>
        <v>#REF!</v>
      </c>
      <c r="Q8" s="31" t="e">
        <f>'calculo ISR SEP '!O35</f>
        <v>#REF!</v>
      </c>
      <c r="R8" s="31">
        <v>0</v>
      </c>
      <c r="S8" s="31" t="e">
        <f aca="true" t="shared" si="4" ref="S8:S14">P8-Q8</f>
        <v>#REF!</v>
      </c>
      <c r="T8" s="31"/>
      <c r="U8" s="31" t="e">
        <f aca="true" t="shared" si="5" ref="U8:U14">R8+S8+T8</f>
        <v>#REF!</v>
      </c>
      <c r="V8" s="31" t="e">
        <f aca="true" t="shared" si="6" ref="V8:V14">O8-U8</f>
        <v>#REF!</v>
      </c>
      <c r="W8" s="31"/>
      <c r="X8" s="31" t="e">
        <f aca="true" t="shared" si="7" ref="X8:X14">V8-W8</f>
        <v>#REF!</v>
      </c>
      <c r="Y8" s="104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15</v>
      </c>
      <c r="J9" s="38" t="e">
        <f t="shared" si="0"/>
        <v>#REF!</v>
      </c>
      <c r="K9" s="38" t="e">
        <f>J9*0.1</f>
        <v>#REF!</v>
      </c>
      <c r="L9" s="38" t="e">
        <f t="shared" si="1"/>
        <v>#REF!</v>
      </c>
      <c r="M9" s="38" t="e">
        <f t="shared" si="2"/>
        <v>#REF!</v>
      </c>
      <c r="N9" s="38">
        <v>10</v>
      </c>
      <c r="O9" s="38" t="e">
        <f t="shared" si="3"/>
        <v>#REF!</v>
      </c>
      <c r="P9" s="31" t="e">
        <f>'calculo ISR SEP '!N36</f>
        <v>#REF!</v>
      </c>
      <c r="Q9" s="31" t="e">
        <f>'calculo ISR SEP '!O36</f>
        <v>#REF!</v>
      </c>
      <c r="R9" s="31">
        <v>0</v>
      </c>
      <c r="S9" s="31" t="e">
        <f t="shared" si="4"/>
        <v>#REF!</v>
      </c>
      <c r="T9" s="31"/>
      <c r="U9" s="31" t="e">
        <f t="shared" si="5"/>
        <v>#REF!</v>
      </c>
      <c r="V9" s="31" t="e">
        <f t="shared" si="6"/>
        <v>#REF!</v>
      </c>
      <c r="W9" s="31"/>
      <c r="X9" s="31" t="e">
        <f t="shared" si="7"/>
        <v>#REF!</v>
      </c>
      <c r="Y9" s="104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15</v>
      </c>
      <c r="J10" s="38" t="e">
        <f t="shared" si="0"/>
        <v>#REF!</v>
      </c>
      <c r="K10" s="38" t="e">
        <f>J10*0.075</f>
        <v>#REF!</v>
      </c>
      <c r="L10" s="38" t="e">
        <f t="shared" si="1"/>
        <v>#REF!</v>
      </c>
      <c r="M10" s="38" t="e">
        <f t="shared" si="2"/>
        <v>#REF!</v>
      </c>
      <c r="N10" s="38">
        <v>10</v>
      </c>
      <c r="O10" s="38" t="e">
        <f t="shared" si="3"/>
        <v>#REF!</v>
      </c>
      <c r="P10" s="31" t="e">
        <f>'calculo ISR SEP '!N37</f>
        <v>#REF!</v>
      </c>
      <c r="Q10" s="31" t="e">
        <f>'calculo ISR SEP '!O37</f>
        <v>#REF!</v>
      </c>
      <c r="R10" s="31">
        <v>0</v>
      </c>
      <c r="S10" s="31" t="e">
        <f t="shared" si="4"/>
        <v>#REF!</v>
      </c>
      <c r="T10" s="31"/>
      <c r="U10" s="31" t="e">
        <f t="shared" si="5"/>
        <v>#REF!</v>
      </c>
      <c r="V10" s="31" t="e">
        <f t="shared" si="6"/>
        <v>#REF!</v>
      </c>
      <c r="W10" s="31"/>
      <c r="X10" s="31" t="e">
        <f>V10-W10</f>
        <v>#REF!</v>
      </c>
      <c r="Y10" s="105">
        <v>2714169867</v>
      </c>
      <c r="Z10" s="40"/>
      <c r="AA10" s="56"/>
      <c r="AB10" s="25"/>
      <c r="AC10" s="25"/>
      <c r="AD10" s="25"/>
      <c r="AE10" s="25"/>
    </row>
    <row r="11" spans="1:31" ht="1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15</v>
      </c>
      <c r="J11" s="38" t="e">
        <f t="shared" si="0"/>
        <v>#REF!</v>
      </c>
      <c r="K11" s="38" t="e">
        <f>J11*0.1</f>
        <v>#REF!</v>
      </c>
      <c r="L11" s="38" t="e">
        <f t="shared" si="1"/>
        <v>#REF!</v>
      </c>
      <c r="M11" s="38" t="e">
        <f t="shared" si="2"/>
        <v>#REF!</v>
      </c>
      <c r="N11" s="38">
        <v>10</v>
      </c>
      <c r="O11" s="38" t="e">
        <f t="shared" si="3"/>
        <v>#REF!</v>
      </c>
      <c r="P11" s="31" t="e">
        <f>'calculo ISR SEP '!N38</f>
        <v>#REF!</v>
      </c>
      <c r="Q11" s="31" t="e">
        <f>'calculo ISR SEP '!O38</f>
        <v>#REF!</v>
      </c>
      <c r="R11" s="31">
        <v>0</v>
      </c>
      <c r="S11" s="31" t="e">
        <f t="shared" si="4"/>
        <v>#REF!</v>
      </c>
      <c r="T11" s="31"/>
      <c r="U11" s="31" t="e">
        <f t="shared" si="5"/>
        <v>#REF!</v>
      </c>
      <c r="V11" s="31" t="e">
        <f t="shared" si="6"/>
        <v>#REF!</v>
      </c>
      <c r="W11" s="31"/>
      <c r="X11" s="31" t="e">
        <f t="shared" si="7"/>
        <v>#REF!</v>
      </c>
      <c r="Y11" s="106">
        <v>2753982734</v>
      </c>
      <c r="Z11" s="40"/>
      <c r="AA11" s="57"/>
      <c r="AB11" s="25"/>
      <c r="AC11" s="25"/>
      <c r="AD11" s="25"/>
      <c r="AE11" s="25"/>
    </row>
    <row r="12" spans="1:31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15</v>
      </c>
      <c r="J12" s="38" t="e">
        <f t="shared" si="0"/>
        <v>#REF!</v>
      </c>
      <c r="K12" s="38" t="e">
        <f>J12*0.075</f>
        <v>#REF!</v>
      </c>
      <c r="L12" s="38" t="e">
        <f t="shared" si="1"/>
        <v>#REF!</v>
      </c>
      <c r="M12" s="38" t="e">
        <f t="shared" si="2"/>
        <v>#REF!</v>
      </c>
      <c r="N12" s="38">
        <v>10</v>
      </c>
      <c r="O12" s="38" t="e">
        <f t="shared" si="3"/>
        <v>#REF!</v>
      </c>
      <c r="P12" s="31" t="e">
        <f>'calculo ISR SEP '!N39</f>
        <v>#REF!</v>
      </c>
      <c r="Q12" s="31" t="e">
        <f>'calculo ISR SEP '!O39</f>
        <v>#REF!</v>
      </c>
      <c r="R12" s="31">
        <v>0</v>
      </c>
      <c r="S12" s="31" t="e">
        <f t="shared" si="4"/>
        <v>#REF!</v>
      </c>
      <c r="T12" s="31"/>
      <c r="U12" s="31" t="e">
        <f t="shared" si="5"/>
        <v>#REF!</v>
      </c>
      <c r="V12" s="31" t="e">
        <f t="shared" si="6"/>
        <v>#REF!</v>
      </c>
      <c r="W12" s="31"/>
      <c r="X12" s="31" t="e">
        <f>V12-W12</f>
        <v>#REF!</v>
      </c>
      <c r="Y12" s="106">
        <v>2758909075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74.57</v>
      </c>
      <c r="H13" s="31">
        <v>85.97</v>
      </c>
      <c r="I13" s="55">
        <v>15</v>
      </c>
      <c r="J13" s="38">
        <f t="shared" si="0"/>
        <v>1118.55</v>
      </c>
      <c r="K13" s="38">
        <f>J13*0.075</f>
        <v>83.89125</v>
      </c>
      <c r="L13" s="38">
        <f t="shared" si="1"/>
        <v>111.855</v>
      </c>
      <c r="M13" s="38">
        <f t="shared" si="2"/>
        <v>167.7825</v>
      </c>
      <c r="N13" s="38">
        <v>10</v>
      </c>
      <c r="O13" s="38">
        <f t="shared" si="3"/>
        <v>1492.07875</v>
      </c>
      <c r="P13" s="31">
        <f>'calculo ISR SEP '!N40</f>
        <v>84.4752</v>
      </c>
      <c r="Q13" s="31">
        <f>'calculo ISR SEP '!O40</f>
        <v>200.7</v>
      </c>
      <c r="R13" s="31">
        <v>0</v>
      </c>
      <c r="S13" s="31">
        <f t="shared" si="4"/>
        <v>-116.22479999999999</v>
      </c>
      <c r="T13" s="31"/>
      <c r="U13" s="31">
        <f t="shared" si="5"/>
        <v>-116.22479999999999</v>
      </c>
      <c r="V13" s="31">
        <f t="shared" si="6"/>
        <v>1608.3035499999999</v>
      </c>
      <c r="W13" s="31"/>
      <c r="X13" s="31">
        <f>V13-W13</f>
        <v>1608.3035499999999</v>
      </c>
      <c r="Y13" s="103">
        <v>2783684466</v>
      </c>
      <c r="Z13" s="40"/>
      <c r="AA13" s="25"/>
      <c r="AB13" s="25"/>
      <c r="AC13" s="25"/>
      <c r="AD13" s="25"/>
      <c r="AE13" s="25"/>
    </row>
    <row r="14" spans="1:31" ht="15">
      <c r="A14" s="32" t="s">
        <v>57</v>
      </c>
      <c r="B14" s="28" t="s">
        <v>87</v>
      </c>
      <c r="C14" s="29">
        <v>71098933956</v>
      </c>
      <c r="D14" s="30" t="s">
        <v>59</v>
      </c>
      <c r="E14" s="36" t="s">
        <v>85</v>
      </c>
      <c r="F14" s="36" t="s">
        <v>86</v>
      </c>
      <c r="G14" s="31" t="e">
        <f>#REF!</f>
        <v>#REF!</v>
      </c>
      <c r="H14" s="31" t="e">
        <f>#REF!</f>
        <v>#REF!</v>
      </c>
      <c r="I14" s="55">
        <v>15</v>
      </c>
      <c r="J14" s="38" t="e">
        <f t="shared" si="0"/>
        <v>#REF!</v>
      </c>
      <c r="K14" s="38" t="e">
        <f>J14*0.075</f>
        <v>#REF!</v>
      </c>
      <c r="L14" s="38" t="e">
        <f t="shared" si="1"/>
        <v>#REF!</v>
      </c>
      <c r="M14" s="38" t="e">
        <f t="shared" si="2"/>
        <v>#REF!</v>
      </c>
      <c r="N14" s="38">
        <v>10</v>
      </c>
      <c r="O14" s="38" t="e">
        <f t="shared" si="3"/>
        <v>#REF!</v>
      </c>
      <c r="P14" s="31" t="e">
        <f>'calculo ISR SEP '!N41</f>
        <v>#REF!</v>
      </c>
      <c r="Q14" s="31" t="e">
        <f>'calculo ISR SEP '!O41</f>
        <v>#REF!</v>
      </c>
      <c r="R14" s="31">
        <v>0</v>
      </c>
      <c r="S14" s="31" t="e">
        <f t="shared" si="4"/>
        <v>#REF!</v>
      </c>
      <c r="T14" s="31"/>
      <c r="U14" s="31" t="e">
        <f t="shared" si="5"/>
        <v>#REF!</v>
      </c>
      <c r="V14" s="31" t="e">
        <f t="shared" si="6"/>
        <v>#REF!</v>
      </c>
      <c r="W14" s="31"/>
      <c r="X14" s="31" t="e">
        <f t="shared" si="7"/>
        <v>#REF!</v>
      </c>
      <c r="Y14" s="106">
        <v>2710232416</v>
      </c>
      <c r="Z14" s="40"/>
      <c r="AA14" s="25"/>
      <c r="AB14" s="25"/>
      <c r="AC14" s="25"/>
      <c r="AD14" s="25"/>
      <c r="AE14" s="25"/>
    </row>
    <row r="15" spans="1:25" ht="15">
      <c r="A15" s="27"/>
      <c r="B15" s="25"/>
      <c r="C15" s="25"/>
      <c r="D15" s="25"/>
      <c r="E15" s="37"/>
      <c r="F15" s="37"/>
      <c r="G15" s="25"/>
      <c r="H15" s="49"/>
      <c r="I15" s="102"/>
      <c r="J15" s="41" t="e">
        <f aca="true" t="shared" si="8" ref="J15:X15">SUM(J7:J14)</f>
        <v>#REF!</v>
      </c>
      <c r="K15" s="41" t="e">
        <f t="shared" si="8"/>
        <v>#REF!</v>
      </c>
      <c r="L15" s="41" t="e">
        <f t="shared" si="8"/>
        <v>#REF!</v>
      </c>
      <c r="M15" s="41" t="e">
        <f t="shared" si="8"/>
        <v>#REF!</v>
      </c>
      <c r="N15" s="41">
        <f t="shared" si="8"/>
        <v>80</v>
      </c>
      <c r="O15" s="41" t="e">
        <f t="shared" si="8"/>
        <v>#REF!</v>
      </c>
      <c r="P15" s="41" t="e">
        <f t="shared" si="8"/>
        <v>#REF!</v>
      </c>
      <c r="Q15" s="41" t="e">
        <f t="shared" si="8"/>
        <v>#REF!</v>
      </c>
      <c r="R15" s="41">
        <f t="shared" si="8"/>
        <v>0</v>
      </c>
      <c r="S15" s="41" t="e">
        <f t="shared" si="8"/>
        <v>#REF!</v>
      </c>
      <c r="T15" s="41">
        <f t="shared" si="8"/>
        <v>0</v>
      </c>
      <c r="U15" s="41" t="e">
        <f t="shared" si="8"/>
        <v>#REF!</v>
      </c>
      <c r="V15" s="41" t="e">
        <f t="shared" si="8"/>
        <v>#REF!</v>
      </c>
      <c r="W15" s="41">
        <f>SUM(W7:W14)</f>
        <v>0</v>
      </c>
      <c r="X15" s="41" t="e">
        <f t="shared" si="8"/>
        <v>#REF!</v>
      </c>
      <c r="Y15" s="25"/>
    </row>
    <row r="16" spans="9:23" ht="25.5" customHeight="1">
      <c r="I16" s="102"/>
      <c r="W16" s="62"/>
    </row>
    <row r="17" spans="3:24" ht="15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4"/>
      <c r="N17" s="341" t="s">
        <v>50</v>
      </c>
      <c r="O17" s="33"/>
      <c r="P17" s="341" t="s">
        <v>51</v>
      </c>
      <c r="W17" s="62" t="s">
        <v>97</v>
      </c>
      <c r="X17" s="40"/>
    </row>
    <row r="18" spans="3:23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4" t="s">
        <v>49</v>
      </c>
      <c r="N18" s="342"/>
      <c r="O18" s="33"/>
      <c r="P18" s="342"/>
      <c r="W18" s="62"/>
    </row>
    <row r="19" spans="2:24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M15</f>
        <v>#REF!</v>
      </c>
      <c r="G19" s="46">
        <f>N15</f>
        <v>80</v>
      </c>
      <c r="H19" s="43" t="e">
        <f aca="true" t="shared" si="9" ref="H19:N19">O15</f>
        <v>#REF!</v>
      </c>
      <c r="I19" s="43" t="e">
        <f t="shared" si="9"/>
        <v>#REF!</v>
      </c>
      <c r="J19" s="43" t="e">
        <f t="shared" si="9"/>
        <v>#REF!</v>
      </c>
      <c r="K19" s="43">
        <f t="shared" si="9"/>
        <v>0</v>
      </c>
      <c r="L19" s="43" t="e">
        <f t="shared" si="9"/>
        <v>#REF!</v>
      </c>
      <c r="M19" s="43">
        <f t="shared" si="9"/>
        <v>0</v>
      </c>
      <c r="N19" s="43" t="e">
        <f t="shared" si="9"/>
        <v>#REF!</v>
      </c>
      <c r="O19" s="43"/>
      <c r="P19" s="43" t="e">
        <f>V15</f>
        <v>#REF!</v>
      </c>
      <c r="V19" s="40"/>
      <c r="W19" s="40"/>
      <c r="X19" s="40"/>
    </row>
    <row r="20" spans="3:16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3:24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  <c r="U21" s="48"/>
      <c r="V21" s="40"/>
      <c r="W21" s="40"/>
      <c r="X21" s="40"/>
    </row>
    <row r="22" spans="3:16" ht="15">
      <c r="C22" s="40"/>
      <c r="D22" s="40"/>
      <c r="E22" s="40"/>
      <c r="F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3:16" ht="15">
      <c r="C23" s="40" t="e">
        <f>SUM(C19:C22)</f>
        <v>#REF!</v>
      </c>
      <c r="D23" s="40" t="e">
        <f>SUM(D19:D22)</f>
        <v>#REF!</v>
      </c>
      <c r="E23" s="40" t="e">
        <f>SUM(E19:E22)</f>
        <v>#REF!</v>
      </c>
      <c r="F23" s="40" t="e">
        <f>SUM(F19:F22)</f>
        <v>#REF!</v>
      </c>
      <c r="H23" s="40" t="e">
        <f aca="true" t="shared" si="10" ref="H23:N23">SUM(H19:H22)</f>
        <v>#REF!</v>
      </c>
      <c r="I23" s="40" t="e">
        <f t="shared" si="10"/>
        <v>#REF!</v>
      </c>
      <c r="J23" s="40" t="e">
        <f t="shared" si="10"/>
        <v>#REF!</v>
      </c>
      <c r="K23" s="40">
        <f t="shared" si="10"/>
        <v>0</v>
      </c>
      <c r="L23" s="40" t="e">
        <f t="shared" si="10"/>
        <v>#REF!</v>
      </c>
      <c r="M23" s="40">
        <f t="shared" si="10"/>
        <v>0</v>
      </c>
      <c r="N23" s="40" t="e">
        <f t="shared" si="10"/>
        <v>#REF!</v>
      </c>
      <c r="O23" s="40"/>
      <c r="P23" s="40"/>
    </row>
    <row r="24" spans="3:24" ht="1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V24" s="40"/>
      <c r="W24" s="40"/>
      <c r="X24" s="40"/>
    </row>
    <row r="25" spans="9:24" ht="15">
      <c r="I25" s="61" t="s">
        <v>57</v>
      </c>
      <c r="J25" s="61" t="s">
        <v>8</v>
      </c>
      <c r="V25" s="40"/>
      <c r="W25" s="40"/>
      <c r="X25" s="40"/>
    </row>
    <row r="26" spans="7:25" ht="15">
      <c r="G26" s="335" t="s">
        <v>53</v>
      </c>
      <c r="H26" s="335"/>
      <c r="I26" s="40" t="e">
        <f>H19+K19-L19</f>
        <v>#REF!</v>
      </c>
      <c r="J26" s="40" t="e">
        <f>H23+K23-L23</f>
        <v>#REF!</v>
      </c>
      <c r="K26" s="40"/>
      <c r="L26" s="40"/>
      <c r="Y26" s="40"/>
    </row>
    <row r="27" spans="7:12" ht="15">
      <c r="G27" s="335" t="s">
        <v>54</v>
      </c>
      <c r="H27" s="335"/>
      <c r="I27" s="40" t="e">
        <f>I26*0.06</f>
        <v>#REF!</v>
      </c>
      <c r="J27" s="40" t="e">
        <f>J26*0.06</f>
        <v>#REF!</v>
      </c>
      <c r="K27" s="40"/>
      <c r="L27" s="40"/>
    </row>
    <row r="28" spans="7:17" ht="15">
      <c r="G28" s="335" t="s">
        <v>55</v>
      </c>
      <c r="H28" s="335"/>
      <c r="I28" s="40" t="e">
        <f>H19*0.02</f>
        <v>#REF!</v>
      </c>
      <c r="J28" s="40" t="e">
        <f>H23*0.02</f>
        <v>#REF!</v>
      </c>
      <c r="K28" s="40"/>
      <c r="L28" s="40"/>
      <c r="Q28" s="48"/>
    </row>
    <row r="29" spans="7:12" ht="15.75" thickBot="1">
      <c r="G29" s="335" t="s">
        <v>36</v>
      </c>
      <c r="H29" s="335"/>
      <c r="I29" s="44">
        <f>'COP TUXTLA'!S85</f>
        <v>25169.65620299588</v>
      </c>
      <c r="J29" s="44">
        <f>I29</f>
        <v>25169.65620299588</v>
      </c>
      <c r="K29" s="43"/>
      <c r="L29" s="43"/>
    </row>
    <row r="30" spans="7:12" ht="15">
      <c r="G30" s="335" t="s">
        <v>30</v>
      </c>
      <c r="H30" s="335"/>
      <c r="I30" s="40" t="e">
        <f>SUM(I26:I29)</f>
        <v>#REF!</v>
      </c>
      <c r="J30" s="40" t="e">
        <f>SUM(J26:J29)</f>
        <v>#REF!</v>
      </c>
      <c r="K30" s="54"/>
      <c r="L30" s="54"/>
    </row>
    <row r="31" spans="7:12" ht="15.75" thickBot="1">
      <c r="G31" s="335" t="s">
        <v>62</v>
      </c>
      <c r="H31" s="335"/>
      <c r="I31" s="42" t="e">
        <f>I30*0.16</f>
        <v>#REF!</v>
      </c>
      <c r="J31" s="42" t="e">
        <f>J30*0.16</f>
        <v>#REF!</v>
      </c>
      <c r="K31" s="54"/>
      <c r="L31" s="54"/>
    </row>
    <row r="32" spans="7:12" ht="15">
      <c r="G32" s="335" t="s">
        <v>8</v>
      </c>
      <c r="H32" s="335"/>
      <c r="I32" s="40" t="e">
        <f>I30+I31</f>
        <v>#REF!</v>
      </c>
      <c r="J32" s="40" t="e">
        <f>J30+J31</f>
        <v>#REF!</v>
      </c>
      <c r="K32" s="54"/>
      <c r="L32" s="54"/>
    </row>
    <row r="33" ht="15">
      <c r="J33" s="40"/>
    </row>
    <row r="34" ht="15">
      <c r="J34" s="40" t="e">
        <f>J32+J33</f>
        <v>#REF!</v>
      </c>
    </row>
    <row r="36" spans="7:11" ht="15">
      <c r="G36" s="52"/>
      <c r="H36" s="53"/>
      <c r="I36" s="53"/>
      <c r="J36" s="53"/>
      <c r="K36" s="53"/>
    </row>
    <row r="38" ht="15">
      <c r="M38" s="40"/>
    </row>
    <row r="39" ht="15">
      <c r="M39" s="40"/>
    </row>
    <row r="40" ht="15">
      <c r="M40" s="40"/>
    </row>
  </sheetData>
  <sheetProtection/>
  <mergeCells count="30">
    <mergeCell ref="P4:T4"/>
    <mergeCell ref="U4:U5"/>
    <mergeCell ref="V4:V5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W4:X4"/>
    <mergeCell ref="A6:B6"/>
    <mergeCell ref="C17:G17"/>
    <mergeCell ref="H17:H18"/>
    <mergeCell ref="I17:M17"/>
    <mergeCell ref="N17:N18"/>
    <mergeCell ref="P17:P18"/>
    <mergeCell ref="I4:I5"/>
    <mergeCell ref="J4:N4"/>
    <mergeCell ref="O4:O5"/>
    <mergeCell ref="G32:H32"/>
    <mergeCell ref="G26:H26"/>
    <mergeCell ref="G27:H27"/>
    <mergeCell ref="G28:H28"/>
    <mergeCell ref="G29:H29"/>
    <mergeCell ref="G30:H30"/>
    <mergeCell ref="G31:H31"/>
  </mergeCells>
  <printOptions/>
  <pageMargins left="0.7480314960629921" right="0.7480314960629921" top="0.984251968503937" bottom="0.984251968503937" header="0" footer="0"/>
  <pageSetup horizontalDpi="120" verticalDpi="120" orientation="landscape" scale="3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2:AE40"/>
  <sheetViews>
    <sheetView zoomScalePageLayoutView="0" workbookViewId="0" topLeftCell="A1">
      <pane xSplit="2" topLeftCell="C1" activePane="topRight" state="frozen"/>
      <selection pane="topLeft" activeCell="A4" sqref="A4"/>
      <selection pane="topRight" activeCell="A16" sqref="A16"/>
    </sheetView>
  </sheetViews>
  <sheetFormatPr defaultColWidth="11.421875" defaultRowHeight="15"/>
  <cols>
    <col min="1" max="1" width="7.57421875" style="69" customWidth="1"/>
    <col min="2" max="2" width="38.57421875" style="0" customWidth="1"/>
    <col min="3" max="3" width="16.57421875" style="0" customWidth="1"/>
    <col min="4" max="4" width="13.00390625" style="0" customWidth="1"/>
    <col min="5" max="5" width="15.00390625" style="0" customWidth="1"/>
    <col min="6" max="6" width="23.7109375" style="70" customWidth="1"/>
    <col min="7" max="7" width="13.00390625" style="70" customWidth="1"/>
    <col min="8" max="8" width="13.00390625" style="0" customWidth="1"/>
    <col min="9" max="9" width="15.57421875" style="0" customWidth="1"/>
    <col min="10" max="10" width="14.7109375" style="0" customWidth="1"/>
    <col min="11" max="12" width="13.00390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122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15</v>
      </c>
      <c r="J7" s="38" t="e">
        <f>G7*I7</f>
        <v>#REF!</v>
      </c>
      <c r="K7" s="38" t="e">
        <f>J7*0.1</f>
        <v>#REF!</v>
      </c>
      <c r="L7" s="38" t="e">
        <f>J7*0.1</f>
        <v>#REF!</v>
      </c>
      <c r="M7" s="38" t="e">
        <f>J7*0.15</f>
        <v>#REF!</v>
      </c>
      <c r="N7" s="38">
        <v>10</v>
      </c>
      <c r="O7" s="38" t="e">
        <f>SUM(J7:N7)</f>
        <v>#REF!</v>
      </c>
      <c r="P7" s="31" t="e">
        <f>'calculo ISR'!N34</f>
        <v>#REF!</v>
      </c>
      <c r="Q7" s="31" t="e">
        <f>'calculo ISR'!O34</f>
        <v>#REF!</v>
      </c>
      <c r="R7" s="31">
        <v>0</v>
      </c>
      <c r="S7" s="31" t="e">
        <f>P7-Q7</f>
        <v>#REF!</v>
      </c>
      <c r="T7" s="31"/>
      <c r="U7" s="31" t="e">
        <f aca="true" t="shared" si="0" ref="U7:U14">R7+S7+T7</f>
        <v>#REF!</v>
      </c>
      <c r="V7" s="31" t="e">
        <f>O7-U7</f>
        <v>#REF!</v>
      </c>
      <c r="W7" s="31"/>
      <c r="X7" s="95" t="e">
        <f>V7-W7</f>
        <v>#REF!</v>
      </c>
      <c r="Y7" s="58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15</v>
      </c>
      <c r="J8" s="38" t="e">
        <f aca="true" t="shared" si="1" ref="J8:J14">G8*I8</f>
        <v>#REF!</v>
      </c>
      <c r="K8" s="38" t="e">
        <f>J8*0.05</f>
        <v>#REF!</v>
      </c>
      <c r="L8" s="38" t="e">
        <f aca="true" t="shared" si="2" ref="L8:L14">J8*0.1</f>
        <v>#REF!</v>
      </c>
      <c r="M8" s="38" t="e">
        <f aca="true" t="shared" si="3" ref="M8:M14">J8*0.15</f>
        <v>#REF!</v>
      </c>
      <c r="N8" s="38">
        <v>10</v>
      </c>
      <c r="O8" s="38" t="e">
        <f aca="true" t="shared" si="4" ref="O8:O14">SUM(J8:N8)</f>
        <v>#REF!</v>
      </c>
      <c r="P8" s="31" t="e">
        <f>'calculo ISR'!N35</f>
        <v>#REF!</v>
      </c>
      <c r="Q8" s="31" t="e">
        <f>'calculo ISR'!O35</f>
        <v>#REF!</v>
      </c>
      <c r="R8" s="31">
        <v>0</v>
      </c>
      <c r="S8" s="31" t="e">
        <f aca="true" t="shared" si="5" ref="S8:S14">P8-Q8</f>
        <v>#REF!</v>
      </c>
      <c r="T8" s="31"/>
      <c r="U8" s="31" t="e">
        <f t="shared" si="0"/>
        <v>#REF!</v>
      </c>
      <c r="V8" s="31" t="e">
        <f aca="true" t="shared" si="6" ref="V8:V14">O8-U8</f>
        <v>#REF!</v>
      </c>
      <c r="W8" s="31"/>
      <c r="X8" s="95" t="e">
        <f aca="true" t="shared" si="7" ref="X8:X14">V8-W8</f>
        <v>#REF!</v>
      </c>
      <c r="Y8" s="58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15</v>
      </c>
      <c r="J9" s="38" t="e">
        <f t="shared" si="1"/>
        <v>#REF!</v>
      </c>
      <c r="K9" s="38" t="e">
        <f aca="true" t="shared" si="8" ref="K9:K14">J9*0.1</f>
        <v>#REF!</v>
      </c>
      <c r="L9" s="38" t="e">
        <f t="shared" si="2"/>
        <v>#REF!</v>
      </c>
      <c r="M9" s="38" t="e">
        <f t="shared" si="3"/>
        <v>#REF!</v>
      </c>
      <c r="N9" s="38">
        <v>10</v>
      </c>
      <c r="O9" s="38" t="e">
        <f t="shared" si="4"/>
        <v>#REF!</v>
      </c>
      <c r="P9" s="31" t="e">
        <f>'calculo ISR'!N36</f>
        <v>#REF!</v>
      </c>
      <c r="Q9" s="31" t="e">
        <f>'calculo ISR'!O36</f>
        <v>#REF!</v>
      </c>
      <c r="R9" s="31">
        <v>0</v>
      </c>
      <c r="S9" s="31" t="e">
        <f t="shared" si="5"/>
        <v>#REF!</v>
      </c>
      <c r="T9" s="31"/>
      <c r="U9" s="31" t="e">
        <f t="shared" si="0"/>
        <v>#REF!</v>
      </c>
      <c r="V9" s="31" t="e">
        <f t="shared" si="6"/>
        <v>#REF!</v>
      </c>
      <c r="W9" s="31"/>
      <c r="X9" s="95" t="e">
        <f t="shared" si="7"/>
        <v>#REF!</v>
      </c>
      <c r="Y9" s="58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15</v>
      </c>
      <c r="J10" s="38" t="e">
        <f t="shared" si="1"/>
        <v>#REF!</v>
      </c>
      <c r="K10" s="38" t="e">
        <f t="shared" si="8"/>
        <v>#REF!</v>
      </c>
      <c r="L10" s="38" t="e">
        <f t="shared" si="2"/>
        <v>#REF!</v>
      </c>
      <c r="M10" s="38" t="e">
        <f t="shared" si="3"/>
        <v>#REF!</v>
      </c>
      <c r="N10" s="38">
        <v>10</v>
      </c>
      <c r="O10" s="38" t="e">
        <f t="shared" si="4"/>
        <v>#REF!</v>
      </c>
      <c r="P10" s="31" t="e">
        <f>'calculo ISR'!N37</f>
        <v>#REF!</v>
      </c>
      <c r="Q10" s="31" t="e">
        <f>'calculo ISR'!O37</f>
        <v>#REF!</v>
      </c>
      <c r="R10" s="31">
        <v>0</v>
      </c>
      <c r="S10" s="31" t="e">
        <f t="shared" si="5"/>
        <v>#REF!</v>
      </c>
      <c r="T10" s="31"/>
      <c r="U10" s="31" t="e">
        <f t="shared" si="0"/>
        <v>#REF!</v>
      </c>
      <c r="V10" s="31" t="e">
        <f t="shared" si="6"/>
        <v>#REF!</v>
      </c>
      <c r="W10" s="31"/>
      <c r="X10" s="95" t="e">
        <f>V10-W10</f>
        <v>#REF!</v>
      </c>
      <c r="Y10" s="60">
        <v>2714169867</v>
      </c>
      <c r="Z10" s="40"/>
      <c r="AA10" s="56"/>
      <c r="AB10" s="25"/>
      <c r="AC10" s="25"/>
      <c r="AD10" s="25"/>
      <c r="AE10" s="25"/>
    </row>
    <row r="11" spans="1:31" ht="15.7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15</v>
      </c>
      <c r="J11" s="38" t="e">
        <f t="shared" si="1"/>
        <v>#REF!</v>
      </c>
      <c r="K11" s="38" t="e">
        <f t="shared" si="8"/>
        <v>#REF!</v>
      </c>
      <c r="L11" s="38" t="e">
        <f t="shared" si="2"/>
        <v>#REF!</v>
      </c>
      <c r="M11" s="38" t="e">
        <f t="shared" si="3"/>
        <v>#REF!</v>
      </c>
      <c r="N11" s="38">
        <v>10</v>
      </c>
      <c r="O11" s="38" t="e">
        <f t="shared" si="4"/>
        <v>#REF!</v>
      </c>
      <c r="P11" s="31" t="e">
        <f>'calculo ISR'!N38</f>
        <v>#REF!</v>
      </c>
      <c r="Q11" s="31" t="e">
        <f>'calculo ISR'!O38</f>
        <v>#REF!</v>
      </c>
      <c r="R11" s="31">
        <v>0</v>
      </c>
      <c r="S11" s="31" t="e">
        <f t="shared" si="5"/>
        <v>#REF!</v>
      </c>
      <c r="T11" s="31"/>
      <c r="U11" s="31" t="e">
        <f t="shared" si="0"/>
        <v>#REF!</v>
      </c>
      <c r="V11" s="31" t="e">
        <f t="shared" si="6"/>
        <v>#REF!</v>
      </c>
      <c r="W11" s="31"/>
      <c r="X11" s="95" t="e">
        <f t="shared" si="7"/>
        <v>#REF!</v>
      </c>
      <c r="Y11" s="64">
        <v>2753982734</v>
      </c>
      <c r="Z11" s="40"/>
      <c r="AA11" s="57"/>
      <c r="AB11" s="25"/>
      <c r="AC11" s="25"/>
      <c r="AD11" s="25"/>
      <c r="AE11" s="25"/>
    </row>
    <row r="12" spans="1:31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15</v>
      </c>
      <c r="J12" s="38" t="e">
        <f t="shared" si="1"/>
        <v>#REF!</v>
      </c>
      <c r="K12" s="38" t="e">
        <f t="shared" si="8"/>
        <v>#REF!</v>
      </c>
      <c r="L12" s="38" t="e">
        <f t="shared" si="2"/>
        <v>#REF!</v>
      </c>
      <c r="M12" s="38" t="e">
        <f t="shared" si="3"/>
        <v>#REF!</v>
      </c>
      <c r="N12" s="38">
        <v>10</v>
      </c>
      <c r="O12" s="38" t="e">
        <f t="shared" si="4"/>
        <v>#REF!</v>
      </c>
      <c r="P12" s="31" t="e">
        <f>'calculo ISR'!N39</f>
        <v>#REF!</v>
      </c>
      <c r="Q12" s="31" t="e">
        <f>'calculo ISR'!O39</f>
        <v>#REF!</v>
      </c>
      <c r="R12" s="31">
        <v>0</v>
      </c>
      <c r="S12" s="31" t="e">
        <f t="shared" si="5"/>
        <v>#REF!</v>
      </c>
      <c r="T12" s="31"/>
      <c r="U12" s="31" t="e">
        <f t="shared" si="0"/>
        <v>#REF!</v>
      </c>
      <c r="V12" s="31" t="e">
        <f t="shared" si="6"/>
        <v>#REF!</v>
      </c>
      <c r="W12" s="31"/>
      <c r="X12" s="95" t="e">
        <f>V12-W12</f>
        <v>#REF!</v>
      </c>
      <c r="Y12" s="59">
        <v>2758909075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74.57</v>
      </c>
      <c r="H13" s="31">
        <v>85.97</v>
      </c>
      <c r="I13" s="55">
        <v>15</v>
      </c>
      <c r="J13" s="38">
        <f t="shared" si="1"/>
        <v>1118.55</v>
      </c>
      <c r="K13" s="38">
        <f t="shared" si="8"/>
        <v>111.855</v>
      </c>
      <c r="L13" s="38">
        <f t="shared" si="2"/>
        <v>111.855</v>
      </c>
      <c r="M13" s="38">
        <f t="shared" si="3"/>
        <v>167.7825</v>
      </c>
      <c r="N13" s="38">
        <v>10</v>
      </c>
      <c r="O13" s="38">
        <f t="shared" si="4"/>
        <v>1520.0425</v>
      </c>
      <c r="P13" s="31">
        <f>'calculo ISR'!N40</f>
        <v>86.26488</v>
      </c>
      <c r="Q13" s="31">
        <f>'calculo ISR'!O40</f>
        <v>200.7</v>
      </c>
      <c r="R13" s="31">
        <v>0</v>
      </c>
      <c r="S13" s="31">
        <f t="shared" si="5"/>
        <v>-114.43511999999998</v>
      </c>
      <c r="T13" s="31"/>
      <c r="U13" s="31">
        <f>R13+S13+T13</f>
        <v>-114.43511999999998</v>
      </c>
      <c r="V13" s="31">
        <f t="shared" si="6"/>
        <v>1634.4776200000001</v>
      </c>
      <c r="W13" s="31"/>
      <c r="X13" s="95">
        <f>V13-W13</f>
        <v>1634.4776200000001</v>
      </c>
      <c r="Y13" s="59" t="s">
        <v>93</v>
      </c>
      <c r="Z13" s="40"/>
      <c r="AA13" s="25"/>
      <c r="AB13" s="25"/>
      <c r="AC13" s="25"/>
      <c r="AD13" s="25"/>
      <c r="AE13" s="25"/>
    </row>
    <row r="14" spans="1:31" ht="15">
      <c r="A14" s="32" t="s">
        <v>57</v>
      </c>
      <c r="B14" s="28" t="s">
        <v>87</v>
      </c>
      <c r="C14" s="29">
        <v>71098933956</v>
      </c>
      <c r="D14" s="30" t="s">
        <v>59</v>
      </c>
      <c r="E14" s="36" t="s">
        <v>85</v>
      </c>
      <c r="F14" s="36" t="s">
        <v>86</v>
      </c>
      <c r="G14" s="31" t="e">
        <f>#REF!</f>
        <v>#REF!</v>
      </c>
      <c r="H14" s="31" t="e">
        <f>#REF!</f>
        <v>#REF!</v>
      </c>
      <c r="I14" s="55">
        <v>15</v>
      </c>
      <c r="J14" s="38" t="e">
        <f t="shared" si="1"/>
        <v>#REF!</v>
      </c>
      <c r="K14" s="38" t="e">
        <f t="shared" si="8"/>
        <v>#REF!</v>
      </c>
      <c r="L14" s="38" t="e">
        <f t="shared" si="2"/>
        <v>#REF!</v>
      </c>
      <c r="M14" s="38" t="e">
        <f t="shared" si="3"/>
        <v>#REF!</v>
      </c>
      <c r="N14" s="38">
        <v>10</v>
      </c>
      <c r="O14" s="38" t="e">
        <f t="shared" si="4"/>
        <v>#REF!</v>
      </c>
      <c r="P14" s="31" t="e">
        <f>'calculo ISR'!N41</f>
        <v>#REF!</v>
      </c>
      <c r="Q14" s="31" t="e">
        <f>'calculo ISR'!O41</f>
        <v>#REF!</v>
      </c>
      <c r="R14" s="31">
        <v>0</v>
      </c>
      <c r="S14" s="31" t="e">
        <f t="shared" si="5"/>
        <v>#REF!</v>
      </c>
      <c r="T14" s="31"/>
      <c r="U14" s="31" t="e">
        <f t="shared" si="0"/>
        <v>#REF!</v>
      </c>
      <c r="V14" s="31" t="e">
        <f t="shared" si="6"/>
        <v>#REF!</v>
      </c>
      <c r="W14" s="31"/>
      <c r="X14" s="95" t="e">
        <f t="shared" si="7"/>
        <v>#REF!</v>
      </c>
      <c r="Y14" s="59">
        <v>2710232416</v>
      </c>
      <c r="Z14" s="40"/>
      <c r="AA14" s="25"/>
      <c r="AB14" s="25"/>
      <c r="AC14" s="25"/>
      <c r="AD14" s="25"/>
      <c r="AE14" s="25"/>
    </row>
    <row r="15" spans="1:25" ht="15">
      <c r="A15" s="27"/>
      <c r="B15" s="25"/>
      <c r="C15" s="25"/>
      <c r="D15" s="25"/>
      <c r="E15" s="37"/>
      <c r="F15" s="37"/>
      <c r="G15" s="25"/>
      <c r="H15" s="49"/>
      <c r="I15" s="69"/>
      <c r="J15" s="41" t="e">
        <f aca="true" t="shared" si="9" ref="J15:X15">SUM(J7:J14)</f>
        <v>#REF!</v>
      </c>
      <c r="K15" s="41" t="e">
        <f t="shared" si="9"/>
        <v>#REF!</v>
      </c>
      <c r="L15" s="41" t="e">
        <f t="shared" si="9"/>
        <v>#REF!</v>
      </c>
      <c r="M15" s="41" t="e">
        <f t="shared" si="9"/>
        <v>#REF!</v>
      </c>
      <c r="N15" s="41">
        <f t="shared" si="9"/>
        <v>80</v>
      </c>
      <c r="O15" s="41" t="e">
        <f t="shared" si="9"/>
        <v>#REF!</v>
      </c>
      <c r="P15" s="41" t="e">
        <f t="shared" si="9"/>
        <v>#REF!</v>
      </c>
      <c r="Q15" s="41" t="e">
        <f t="shared" si="9"/>
        <v>#REF!</v>
      </c>
      <c r="R15" s="41">
        <f t="shared" si="9"/>
        <v>0</v>
      </c>
      <c r="S15" s="41" t="e">
        <f t="shared" si="9"/>
        <v>#REF!</v>
      </c>
      <c r="T15" s="41">
        <f t="shared" si="9"/>
        <v>0</v>
      </c>
      <c r="U15" s="41" t="e">
        <f t="shared" si="9"/>
        <v>#REF!</v>
      </c>
      <c r="V15" s="41" t="e">
        <f t="shared" si="9"/>
        <v>#REF!</v>
      </c>
      <c r="W15" s="41">
        <f>SUM(W7:W14)</f>
        <v>0</v>
      </c>
      <c r="X15" s="41" t="e">
        <f t="shared" si="9"/>
        <v>#REF!</v>
      </c>
      <c r="Y15" s="25"/>
    </row>
    <row r="16" spans="9:23" ht="25.5" customHeight="1">
      <c r="I16" s="69"/>
      <c r="W16" s="62"/>
    </row>
    <row r="17" spans="3:24" ht="15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4"/>
      <c r="N17" s="341" t="s">
        <v>50</v>
      </c>
      <c r="O17" s="33"/>
      <c r="P17" s="341" t="s">
        <v>51</v>
      </c>
      <c r="W17" s="62" t="s">
        <v>97</v>
      </c>
      <c r="X17" s="40"/>
    </row>
    <row r="18" spans="3:23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4" t="s">
        <v>49</v>
      </c>
      <c r="N18" s="342"/>
      <c r="O18" s="33"/>
      <c r="P18" s="342"/>
      <c r="W18" s="62"/>
    </row>
    <row r="19" spans="2:24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M15</f>
        <v>#REF!</v>
      </c>
      <c r="G19" s="46">
        <f>N15</f>
        <v>80</v>
      </c>
      <c r="H19" s="43" t="e">
        <f aca="true" t="shared" si="10" ref="H19:N19">O15</f>
        <v>#REF!</v>
      </c>
      <c r="I19" s="43" t="e">
        <f t="shared" si="10"/>
        <v>#REF!</v>
      </c>
      <c r="J19" s="43" t="e">
        <f t="shared" si="10"/>
        <v>#REF!</v>
      </c>
      <c r="K19" s="43">
        <f t="shared" si="10"/>
        <v>0</v>
      </c>
      <c r="L19" s="43" t="e">
        <f t="shared" si="10"/>
        <v>#REF!</v>
      </c>
      <c r="M19" s="43">
        <f t="shared" si="10"/>
        <v>0</v>
      </c>
      <c r="N19" s="43" t="e">
        <f t="shared" si="10"/>
        <v>#REF!</v>
      </c>
      <c r="O19" s="43"/>
      <c r="P19" s="43" t="e">
        <f>V15</f>
        <v>#REF!</v>
      </c>
      <c r="V19" s="40"/>
      <c r="W19" s="40"/>
      <c r="X19" s="40"/>
    </row>
    <row r="20" spans="3:16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3:24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  <c r="U21" s="48"/>
      <c r="V21" s="40"/>
      <c r="W21" s="40"/>
      <c r="X21" s="40"/>
    </row>
    <row r="22" spans="3:16" ht="15">
      <c r="C22" s="40"/>
      <c r="D22" s="40"/>
      <c r="E22" s="40"/>
      <c r="F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3:16" ht="15">
      <c r="C23" s="40" t="e">
        <f>SUM(C19:C22)</f>
        <v>#REF!</v>
      </c>
      <c r="D23" s="40" t="e">
        <f>SUM(D19:D22)</f>
        <v>#REF!</v>
      </c>
      <c r="E23" s="40" t="e">
        <f>SUM(E19:E22)</f>
        <v>#REF!</v>
      </c>
      <c r="F23" s="40" t="e">
        <f>SUM(F19:F22)</f>
        <v>#REF!</v>
      </c>
      <c r="H23" s="40" t="e">
        <f aca="true" t="shared" si="11" ref="H23:N23">SUM(H19:H22)</f>
        <v>#REF!</v>
      </c>
      <c r="I23" s="40" t="e">
        <f t="shared" si="11"/>
        <v>#REF!</v>
      </c>
      <c r="J23" s="40" t="e">
        <f t="shared" si="11"/>
        <v>#REF!</v>
      </c>
      <c r="K23" s="40">
        <f t="shared" si="11"/>
        <v>0</v>
      </c>
      <c r="L23" s="40" t="e">
        <f t="shared" si="11"/>
        <v>#REF!</v>
      </c>
      <c r="M23" s="40">
        <f t="shared" si="11"/>
        <v>0</v>
      </c>
      <c r="N23" s="40" t="e">
        <f t="shared" si="11"/>
        <v>#REF!</v>
      </c>
      <c r="O23" s="40"/>
      <c r="P23" s="40"/>
    </row>
    <row r="24" spans="3:24" ht="1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V24" s="40"/>
      <c r="W24" s="40"/>
      <c r="X24" s="40"/>
    </row>
    <row r="25" spans="9:24" ht="15">
      <c r="I25" s="61" t="s">
        <v>57</v>
      </c>
      <c r="J25" s="61" t="s">
        <v>8</v>
      </c>
      <c r="V25" s="40"/>
      <c r="W25" s="40"/>
      <c r="X25" s="40"/>
    </row>
    <row r="26" spans="7:25" ht="15">
      <c r="G26" s="335" t="s">
        <v>53</v>
      </c>
      <c r="H26" s="335"/>
      <c r="I26" s="40" t="e">
        <f>H19+K19-L19</f>
        <v>#REF!</v>
      </c>
      <c r="J26" s="40" t="e">
        <f>H23+K23-L23</f>
        <v>#REF!</v>
      </c>
      <c r="K26" s="40"/>
      <c r="L26" s="40"/>
      <c r="Y26" s="40"/>
    </row>
    <row r="27" spans="7:12" ht="15">
      <c r="G27" s="335" t="s">
        <v>54</v>
      </c>
      <c r="H27" s="335"/>
      <c r="I27" s="40" t="e">
        <f>I26*0.06</f>
        <v>#REF!</v>
      </c>
      <c r="J27" s="40" t="e">
        <f>J26*0.06</f>
        <v>#REF!</v>
      </c>
      <c r="K27" s="40"/>
      <c r="L27" s="40"/>
    </row>
    <row r="28" spans="7:17" ht="15">
      <c r="G28" s="335" t="s">
        <v>55</v>
      </c>
      <c r="H28" s="335"/>
      <c r="I28" s="40" t="e">
        <f>H19*0.02</f>
        <v>#REF!</v>
      </c>
      <c r="J28" s="40" t="e">
        <f>H23*0.02</f>
        <v>#REF!</v>
      </c>
      <c r="K28" s="40"/>
      <c r="L28" s="40"/>
      <c r="Q28" s="48"/>
    </row>
    <row r="29" spans="7:12" ht="15.75" thickBot="1">
      <c r="G29" s="335" t="s">
        <v>36</v>
      </c>
      <c r="H29" s="335"/>
      <c r="I29" s="44">
        <f>'COP TUXTLA'!S85</f>
        <v>25169.65620299588</v>
      </c>
      <c r="J29" s="44">
        <f>I29</f>
        <v>25169.65620299588</v>
      </c>
      <c r="K29" s="43"/>
      <c r="L29" s="43"/>
    </row>
    <row r="30" spans="7:12" ht="15">
      <c r="G30" s="335" t="s">
        <v>30</v>
      </c>
      <c r="H30" s="335"/>
      <c r="I30" s="40" t="e">
        <f>SUM(I26:I29)</f>
        <v>#REF!</v>
      </c>
      <c r="J30" s="40" t="e">
        <f>SUM(J26:J29)</f>
        <v>#REF!</v>
      </c>
      <c r="K30" s="54"/>
      <c r="L30" s="54"/>
    </row>
    <row r="31" spans="7:12" ht="15.75" thickBot="1">
      <c r="G31" s="335" t="s">
        <v>62</v>
      </c>
      <c r="H31" s="335"/>
      <c r="I31" s="42" t="e">
        <f>I30*0.16</f>
        <v>#REF!</v>
      </c>
      <c r="J31" s="42" t="e">
        <f>J30*0.16</f>
        <v>#REF!</v>
      </c>
      <c r="K31" s="54"/>
      <c r="L31" s="54"/>
    </row>
    <row r="32" spans="7:12" ht="15">
      <c r="G32" s="335" t="s">
        <v>8</v>
      </c>
      <c r="H32" s="335"/>
      <c r="I32" s="40" t="e">
        <f>I30+I31</f>
        <v>#REF!</v>
      </c>
      <c r="J32" s="40" t="e">
        <f>J30+J31</f>
        <v>#REF!</v>
      </c>
      <c r="K32" s="54"/>
      <c r="L32" s="54"/>
    </row>
    <row r="33" ht="15">
      <c r="J33" s="40"/>
    </row>
    <row r="34" ht="15">
      <c r="J34" s="40" t="e">
        <f>J32+J33</f>
        <v>#REF!</v>
      </c>
    </row>
    <row r="36" spans="7:11" ht="15">
      <c r="G36" s="52"/>
      <c r="H36" s="53"/>
      <c r="I36" s="53"/>
      <c r="J36" s="53"/>
      <c r="K36" s="53"/>
    </row>
    <row r="38" ht="15">
      <c r="M38" s="40"/>
    </row>
    <row r="39" ht="15">
      <c r="M39" s="40"/>
    </row>
    <row r="40" ht="15">
      <c r="M40" s="40"/>
    </row>
  </sheetData>
  <sheetProtection/>
  <mergeCells count="30">
    <mergeCell ref="I4:I5"/>
    <mergeCell ref="J4:N4"/>
    <mergeCell ref="O4:O5"/>
    <mergeCell ref="G32:H32"/>
    <mergeCell ref="G26:H26"/>
    <mergeCell ref="G27:H27"/>
    <mergeCell ref="G28:H28"/>
    <mergeCell ref="G29:H29"/>
    <mergeCell ref="G30:H30"/>
    <mergeCell ref="G31:H31"/>
    <mergeCell ref="F4:F5"/>
    <mergeCell ref="G4:G5"/>
    <mergeCell ref="H4:H5"/>
    <mergeCell ref="W4:X4"/>
    <mergeCell ref="A6:B6"/>
    <mergeCell ref="C17:G17"/>
    <mergeCell ref="H17:H18"/>
    <mergeCell ref="I17:M17"/>
    <mergeCell ref="N17:N18"/>
    <mergeCell ref="P17:P18"/>
    <mergeCell ref="P4:T4"/>
    <mergeCell ref="U4:U5"/>
    <mergeCell ref="V4:V5"/>
    <mergeCell ref="A2:I2"/>
    <mergeCell ref="A3:I3"/>
    <mergeCell ref="A4:A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" footer="0"/>
  <pageSetup horizontalDpi="120" verticalDpi="120" orientation="landscape" scale="30" r:id="rId1"/>
  <ignoredErrors>
    <ignoredError sqref="K8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2:AE38"/>
  <sheetViews>
    <sheetView zoomScalePageLayoutView="0" workbookViewId="0" topLeftCell="A1">
      <pane xSplit="2" topLeftCell="K1" activePane="topRight" state="frozen"/>
      <selection pane="topLeft" activeCell="A4" sqref="A4"/>
      <selection pane="topRight" activeCell="Y13" sqref="Y13"/>
    </sheetView>
  </sheetViews>
  <sheetFormatPr defaultColWidth="11.421875" defaultRowHeight="15"/>
  <cols>
    <col min="1" max="1" width="7.57421875" style="68" customWidth="1"/>
    <col min="2" max="2" width="38.57421875" style="0" customWidth="1"/>
    <col min="3" max="3" width="16.57421875" style="0" customWidth="1"/>
    <col min="4" max="4" width="13.00390625" style="0" customWidth="1"/>
    <col min="5" max="5" width="15.00390625" style="0" customWidth="1"/>
    <col min="6" max="6" width="23.7109375" style="67" customWidth="1"/>
    <col min="7" max="7" width="13.00390625" style="67" customWidth="1"/>
    <col min="8" max="8" width="13.00390625" style="0" customWidth="1"/>
    <col min="9" max="9" width="15.57421875" style="0" customWidth="1"/>
    <col min="10" max="10" width="14.7109375" style="0" customWidth="1"/>
    <col min="11" max="12" width="13.00390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121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4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16</v>
      </c>
      <c r="J7" s="38" t="e">
        <f>G7*I7</f>
        <v>#REF!</v>
      </c>
      <c r="K7" s="38" t="e">
        <f>J7*0.1</f>
        <v>#REF!</v>
      </c>
      <c r="L7" s="38" t="e">
        <f>J7*0.1</f>
        <v>#REF!</v>
      </c>
      <c r="M7" s="38" t="e">
        <f>J7*0.15</f>
        <v>#REF!</v>
      </c>
      <c r="N7" s="38">
        <v>248</v>
      </c>
      <c r="O7" s="38" t="e">
        <f>SUM(J7:N7)</f>
        <v>#REF!</v>
      </c>
      <c r="P7" s="31" t="e">
        <f>'calculo ISR'!N34-'15 JULIO '!P7</f>
        <v>#REF!</v>
      </c>
      <c r="Q7" s="31" t="e">
        <f>'calculo ISR'!O34-'15 JULIO '!Q7</f>
        <v>#REF!</v>
      </c>
      <c r="R7" s="31">
        <v>0</v>
      </c>
      <c r="S7" s="31" t="e">
        <f>P7-Q7</f>
        <v>#REF!</v>
      </c>
      <c r="T7" s="31"/>
      <c r="U7" s="31" t="e">
        <f aca="true" t="shared" si="0" ref="U7:U14">R7+S7+T7</f>
        <v>#REF!</v>
      </c>
      <c r="V7" s="31" t="e">
        <f>O7-U7</f>
        <v>#REF!</v>
      </c>
      <c r="W7" s="31"/>
      <c r="X7" s="31" t="e">
        <f>V7-W7</f>
        <v>#REF!</v>
      </c>
      <c r="Y7" s="58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16</v>
      </c>
      <c r="J8" s="38" t="e">
        <f aca="true" t="shared" si="1" ref="J8:J14">G8*I8</f>
        <v>#REF!</v>
      </c>
      <c r="K8" s="38" t="e">
        <f aca="true" t="shared" si="2" ref="K8:K14">J8*0.1</f>
        <v>#REF!</v>
      </c>
      <c r="L8" s="38" t="e">
        <f aca="true" t="shared" si="3" ref="L8:L14">J8*0.1</f>
        <v>#REF!</v>
      </c>
      <c r="M8" s="38" t="e">
        <f aca="true" t="shared" si="4" ref="M8:M14">J8*0.15</f>
        <v>#REF!</v>
      </c>
      <c r="N8" s="38">
        <v>248</v>
      </c>
      <c r="O8" s="38" t="e">
        <f aca="true" t="shared" si="5" ref="O8:O14">SUM(J8:N8)</f>
        <v>#REF!</v>
      </c>
      <c r="P8" s="31" t="e">
        <f>'calculo ISR'!N35-'15 JULIO '!P8</f>
        <v>#REF!</v>
      </c>
      <c r="Q8" s="31" t="e">
        <f>'calculo ISR'!O35-'15 JULIO '!Q8</f>
        <v>#REF!</v>
      </c>
      <c r="R8" s="31">
        <v>0</v>
      </c>
      <c r="S8" s="31" t="e">
        <f aca="true" t="shared" si="6" ref="S8:S14">P8-Q8</f>
        <v>#REF!</v>
      </c>
      <c r="T8" s="31"/>
      <c r="U8" s="31" t="e">
        <f t="shared" si="0"/>
        <v>#REF!</v>
      </c>
      <c r="V8" s="31" t="e">
        <f aca="true" t="shared" si="7" ref="V8:V14">O8-U8</f>
        <v>#REF!</v>
      </c>
      <c r="W8" s="31"/>
      <c r="X8" s="31" t="e">
        <f aca="true" t="shared" si="8" ref="X8:X14">V8-W8</f>
        <v>#REF!</v>
      </c>
      <c r="Y8" s="58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16</v>
      </c>
      <c r="J9" s="38" t="e">
        <f t="shared" si="1"/>
        <v>#REF!</v>
      </c>
      <c r="K9" s="38" t="e">
        <f t="shared" si="2"/>
        <v>#REF!</v>
      </c>
      <c r="L9" s="38" t="e">
        <f t="shared" si="3"/>
        <v>#REF!</v>
      </c>
      <c r="M9" s="38" t="e">
        <f t="shared" si="4"/>
        <v>#REF!</v>
      </c>
      <c r="N9" s="38">
        <v>248</v>
      </c>
      <c r="O9" s="38" t="e">
        <f t="shared" si="5"/>
        <v>#REF!</v>
      </c>
      <c r="P9" s="31" t="e">
        <f>'calculo ISR'!N36-'15 JULIO '!P9</f>
        <v>#REF!</v>
      </c>
      <c r="Q9" s="31" t="e">
        <f>'calculo ISR'!O36-'15 JULIO '!Q9</f>
        <v>#REF!</v>
      </c>
      <c r="R9" s="31">
        <v>0</v>
      </c>
      <c r="S9" s="31" t="e">
        <f t="shared" si="6"/>
        <v>#REF!</v>
      </c>
      <c r="T9" s="31"/>
      <c r="U9" s="31" t="e">
        <f t="shared" si="0"/>
        <v>#REF!</v>
      </c>
      <c r="V9" s="31" t="e">
        <f t="shared" si="7"/>
        <v>#REF!</v>
      </c>
      <c r="W9" s="31"/>
      <c r="X9" s="31" t="e">
        <f t="shared" si="8"/>
        <v>#REF!</v>
      </c>
      <c r="Y9" s="58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16</v>
      </c>
      <c r="J10" s="38" t="e">
        <f t="shared" si="1"/>
        <v>#REF!</v>
      </c>
      <c r="K10" s="38" t="e">
        <f t="shared" si="2"/>
        <v>#REF!</v>
      </c>
      <c r="L10" s="38" t="e">
        <f t="shared" si="3"/>
        <v>#REF!</v>
      </c>
      <c r="M10" s="38" t="e">
        <f t="shared" si="4"/>
        <v>#REF!</v>
      </c>
      <c r="N10" s="38">
        <v>248</v>
      </c>
      <c r="O10" s="38" t="e">
        <f t="shared" si="5"/>
        <v>#REF!</v>
      </c>
      <c r="P10" s="31" t="e">
        <f>'calculo ISR'!N37-'15 JULIO '!P10</f>
        <v>#REF!</v>
      </c>
      <c r="Q10" s="31" t="e">
        <f>'calculo ISR'!O37-'15 JULIO '!Q10</f>
        <v>#REF!</v>
      </c>
      <c r="R10" s="31">
        <v>0</v>
      </c>
      <c r="S10" s="31" t="e">
        <f t="shared" si="6"/>
        <v>#REF!</v>
      </c>
      <c r="T10" s="31"/>
      <c r="U10" s="31" t="e">
        <f t="shared" si="0"/>
        <v>#REF!</v>
      </c>
      <c r="V10" s="31" t="e">
        <f t="shared" si="7"/>
        <v>#REF!</v>
      </c>
      <c r="W10" s="31"/>
      <c r="X10" s="31" t="e">
        <f>V10-W10</f>
        <v>#REF!</v>
      </c>
      <c r="Y10" s="60">
        <v>2714169867</v>
      </c>
      <c r="Z10" s="40"/>
      <c r="AA10" s="56"/>
      <c r="AB10" s="25"/>
      <c r="AC10" s="25"/>
      <c r="AD10" s="25"/>
      <c r="AE10" s="25"/>
    </row>
    <row r="11" spans="1:31" ht="1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16</v>
      </c>
      <c r="J11" s="38" t="e">
        <f t="shared" si="1"/>
        <v>#REF!</v>
      </c>
      <c r="K11" s="38" t="e">
        <f t="shared" si="2"/>
        <v>#REF!</v>
      </c>
      <c r="L11" s="38" t="e">
        <f t="shared" si="3"/>
        <v>#REF!</v>
      </c>
      <c r="M11" s="38" t="e">
        <f t="shared" si="4"/>
        <v>#REF!</v>
      </c>
      <c r="N11" s="38">
        <v>244</v>
      </c>
      <c r="O11" s="38" t="e">
        <f t="shared" si="5"/>
        <v>#REF!</v>
      </c>
      <c r="P11" s="31" t="e">
        <f>'calculo ISR'!N38-'15 JULIO '!P11</f>
        <v>#REF!</v>
      </c>
      <c r="Q11" s="31" t="e">
        <f>'calculo ISR'!O38-'15 JULIO '!Q11</f>
        <v>#REF!</v>
      </c>
      <c r="R11" s="31">
        <v>0</v>
      </c>
      <c r="S11" s="31" t="e">
        <f t="shared" si="6"/>
        <v>#REF!</v>
      </c>
      <c r="T11" s="31"/>
      <c r="U11" s="31" t="e">
        <f t="shared" si="0"/>
        <v>#REF!</v>
      </c>
      <c r="V11" s="31" t="e">
        <f t="shared" si="7"/>
        <v>#REF!</v>
      </c>
      <c r="W11" s="31"/>
      <c r="X11" s="31" t="e">
        <f t="shared" si="8"/>
        <v>#REF!</v>
      </c>
      <c r="Y11" s="60">
        <v>2753982734</v>
      </c>
      <c r="Z11" s="40"/>
      <c r="AA11" s="57"/>
      <c r="AB11" s="25"/>
      <c r="AC11" s="25"/>
      <c r="AD11" s="25"/>
      <c r="AE11" s="25"/>
    </row>
    <row r="12" spans="1:31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16</v>
      </c>
      <c r="J12" s="38" t="e">
        <f t="shared" si="1"/>
        <v>#REF!</v>
      </c>
      <c r="K12" s="38" t="e">
        <f>J12*0.075</f>
        <v>#REF!</v>
      </c>
      <c r="L12" s="38" t="e">
        <f t="shared" si="3"/>
        <v>#REF!</v>
      </c>
      <c r="M12" s="38" t="e">
        <f t="shared" si="4"/>
        <v>#REF!</v>
      </c>
      <c r="N12" s="38">
        <v>244</v>
      </c>
      <c r="O12" s="38" t="e">
        <f t="shared" si="5"/>
        <v>#REF!</v>
      </c>
      <c r="P12" s="31" t="e">
        <f>'calculo ISR'!N39-'15 JULIO '!P12</f>
        <v>#REF!</v>
      </c>
      <c r="Q12" s="31" t="e">
        <f>'calculo ISR'!O39-'15 JULIO '!Q12</f>
        <v>#REF!</v>
      </c>
      <c r="R12" s="31">
        <v>0</v>
      </c>
      <c r="S12" s="31" t="e">
        <f t="shared" si="6"/>
        <v>#REF!</v>
      </c>
      <c r="T12" s="31"/>
      <c r="U12" s="31" t="e">
        <f t="shared" si="0"/>
        <v>#REF!</v>
      </c>
      <c r="V12" s="31" t="e">
        <f t="shared" si="7"/>
        <v>#REF!</v>
      </c>
      <c r="W12" s="31"/>
      <c r="X12" s="31" t="e">
        <f>V12-W12</f>
        <v>#REF!</v>
      </c>
      <c r="Y12" s="59">
        <v>2758909075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74.57</v>
      </c>
      <c r="H13" s="31">
        <v>85.97</v>
      </c>
      <c r="I13" s="55">
        <v>16</v>
      </c>
      <c r="J13" s="38">
        <f t="shared" si="1"/>
        <v>1193.12</v>
      </c>
      <c r="K13" s="38">
        <f t="shared" si="2"/>
        <v>119.312</v>
      </c>
      <c r="L13" s="38">
        <f t="shared" si="3"/>
        <v>119.312</v>
      </c>
      <c r="M13" s="38">
        <f t="shared" si="4"/>
        <v>178.968</v>
      </c>
      <c r="N13" s="38">
        <v>248</v>
      </c>
      <c r="O13" s="38">
        <f t="shared" si="5"/>
        <v>1858.7119999999998</v>
      </c>
      <c r="P13" s="31" t="e">
        <f>'calculo ISR'!N40-'15 JULIO '!P13</f>
        <v>#REF!</v>
      </c>
      <c r="Q13" s="31" t="e">
        <f>'calculo ISR'!O40-'15 JULIO '!Q13</f>
        <v>#REF!</v>
      </c>
      <c r="R13" s="31">
        <v>0</v>
      </c>
      <c r="S13" s="31" t="e">
        <f t="shared" si="6"/>
        <v>#REF!</v>
      </c>
      <c r="T13" s="31"/>
      <c r="U13" s="31" t="e">
        <f>R13+S13+T13</f>
        <v>#REF!</v>
      </c>
      <c r="V13" s="31" t="e">
        <f t="shared" si="7"/>
        <v>#REF!</v>
      </c>
      <c r="W13" s="31"/>
      <c r="X13" s="31" t="e">
        <f>V13-W13</f>
        <v>#REF!</v>
      </c>
      <c r="Y13" s="59" t="s">
        <v>93</v>
      </c>
      <c r="Z13" s="40"/>
      <c r="AA13" s="25"/>
      <c r="AB13" s="25"/>
      <c r="AC13" s="25"/>
      <c r="AD13" s="25"/>
      <c r="AE13" s="25"/>
    </row>
    <row r="14" spans="1:31" ht="15">
      <c r="A14" s="32" t="s">
        <v>57</v>
      </c>
      <c r="B14" s="28" t="s">
        <v>87</v>
      </c>
      <c r="C14" s="29">
        <v>71098933956</v>
      </c>
      <c r="D14" s="30"/>
      <c r="E14" s="36" t="s">
        <v>85</v>
      </c>
      <c r="F14" s="36" t="s">
        <v>86</v>
      </c>
      <c r="G14" s="31" t="e">
        <f>#REF!</f>
        <v>#REF!</v>
      </c>
      <c r="H14" s="31" t="e">
        <f>#REF!</f>
        <v>#REF!</v>
      </c>
      <c r="I14" s="55">
        <v>16</v>
      </c>
      <c r="J14" s="38" t="e">
        <f t="shared" si="1"/>
        <v>#REF!</v>
      </c>
      <c r="K14" s="38" t="e">
        <f t="shared" si="2"/>
        <v>#REF!</v>
      </c>
      <c r="L14" s="38" t="e">
        <f t="shared" si="3"/>
        <v>#REF!</v>
      </c>
      <c r="M14" s="38" t="e">
        <f t="shared" si="4"/>
        <v>#REF!</v>
      </c>
      <c r="N14" s="38">
        <v>248</v>
      </c>
      <c r="O14" s="38" t="e">
        <f t="shared" si="5"/>
        <v>#REF!</v>
      </c>
      <c r="P14" s="31" t="e">
        <f>'calculo ISR'!N41-'15 JULIO '!P14</f>
        <v>#REF!</v>
      </c>
      <c r="Q14" s="31" t="e">
        <f>'calculo ISR'!O41-'15 JULIO '!Q14</f>
        <v>#REF!</v>
      </c>
      <c r="R14" s="31">
        <v>0</v>
      </c>
      <c r="S14" s="31" t="e">
        <f t="shared" si="6"/>
        <v>#REF!</v>
      </c>
      <c r="T14" s="31"/>
      <c r="U14" s="31" t="e">
        <f t="shared" si="0"/>
        <v>#REF!</v>
      </c>
      <c r="V14" s="31" t="e">
        <f t="shared" si="7"/>
        <v>#REF!</v>
      </c>
      <c r="W14" s="31"/>
      <c r="X14" s="31" t="e">
        <f t="shared" si="8"/>
        <v>#REF!</v>
      </c>
      <c r="Y14" s="59">
        <v>2710232416</v>
      </c>
      <c r="Z14" s="40"/>
      <c r="AA14" s="25"/>
      <c r="AB14" s="25"/>
      <c r="AC14" s="25"/>
      <c r="AD14" s="25"/>
      <c r="AE14" s="25"/>
    </row>
    <row r="15" spans="1:25" ht="15">
      <c r="A15" s="27"/>
      <c r="B15" s="25"/>
      <c r="C15" s="25"/>
      <c r="D15" s="25"/>
      <c r="E15" s="37"/>
      <c r="F15" s="37"/>
      <c r="G15" s="25"/>
      <c r="H15" s="49"/>
      <c r="I15" s="68"/>
      <c r="J15" s="41" t="e">
        <f aca="true" t="shared" si="9" ref="J15:X15">SUM(J7:J14)</f>
        <v>#REF!</v>
      </c>
      <c r="K15" s="41" t="e">
        <f t="shared" si="9"/>
        <v>#REF!</v>
      </c>
      <c r="L15" s="41" t="e">
        <f t="shared" si="9"/>
        <v>#REF!</v>
      </c>
      <c r="M15" s="41" t="e">
        <f t="shared" si="9"/>
        <v>#REF!</v>
      </c>
      <c r="N15" s="41">
        <f t="shared" si="9"/>
        <v>1976</v>
      </c>
      <c r="O15" s="41" t="e">
        <f t="shared" si="9"/>
        <v>#REF!</v>
      </c>
      <c r="P15" s="41" t="e">
        <f t="shared" si="9"/>
        <v>#REF!</v>
      </c>
      <c r="Q15" s="41" t="e">
        <f t="shared" si="9"/>
        <v>#REF!</v>
      </c>
      <c r="R15" s="41">
        <f t="shared" si="9"/>
        <v>0</v>
      </c>
      <c r="S15" s="41" t="e">
        <f t="shared" si="9"/>
        <v>#REF!</v>
      </c>
      <c r="T15" s="41">
        <f t="shared" si="9"/>
        <v>0</v>
      </c>
      <c r="U15" s="41" t="e">
        <f t="shared" si="9"/>
        <v>#REF!</v>
      </c>
      <c r="V15" s="41" t="e">
        <f t="shared" si="9"/>
        <v>#REF!</v>
      </c>
      <c r="W15" s="41">
        <f>SUM(W7:W14)</f>
        <v>0</v>
      </c>
      <c r="X15" s="41" t="e">
        <f t="shared" si="9"/>
        <v>#REF!</v>
      </c>
      <c r="Y15" s="25"/>
    </row>
    <row r="16" spans="9:23" ht="25.5" customHeight="1">
      <c r="I16" s="68"/>
      <c r="W16" s="62"/>
    </row>
    <row r="17" spans="3:24" ht="15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4"/>
      <c r="N17" s="341" t="s">
        <v>50</v>
      </c>
      <c r="O17" s="33"/>
      <c r="P17" s="341" t="s">
        <v>51</v>
      </c>
      <c r="W17" s="62"/>
      <c r="X17" s="40"/>
    </row>
    <row r="18" spans="3:23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4" t="s">
        <v>49</v>
      </c>
      <c r="N18" s="342"/>
      <c r="O18" s="33"/>
      <c r="P18" s="342"/>
      <c r="W18" s="62"/>
    </row>
    <row r="19" spans="2:24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M15</f>
        <v>#REF!</v>
      </c>
      <c r="G19" s="46">
        <f>N15</f>
        <v>1976</v>
      </c>
      <c r="H19" s="43" t="e">
        <f aca="true" t="shared" si="10" ref="H19:N19">O15</f>
        <v>#REF!</v>
      </c>
      <c r="I19" s="43" t="e">
        <f t="shared" si="10"/>
        <v>#REF!</v>
      </c>
      <c r="J19" s="43" t="e">
        <f t="shared" si="10"/>
        <v>#REF!</v>
      </c>
      <c r="K19" s="43">
        <f t="shared" si="10"/>
        <v>0</v>
      </c>
      <c r="L19" s="43" t="e">
        <f t="shared" si="10"/>
        <v>#REF!</v>
      </c>
      <c r="M19" s="43">
        <f t="shared" si="10"/>
        <v>0</v>
      </c>
      <c r="N19" s="43" t="e">
        <f t="shared" si="10"/>
        <v>#REF!</v>
      </c>
      <c r="O19" s="43"/>
      <c r="P19" s="43" t="e">
        <f>V15</f>
        <v>#REF!</v>
      </c>
      <c r="V19" s="40"/>
      <c r="W19" s="40"/>
      <c r="X19" s="40"/>
    </row>
    <row r="20" spans="3:16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3:16" ht="15">
      <c r="C21" s="40" t="e">
        <f>SUM(C19:C20)</f>
        <v>#REF!</v>
      </c>
      <c r="D21" s="40" t="e">
        <f>SUM(D19:D20)</f>
        <v>#REF!</v>
      </c>
      <c r="E21" s="40" t="e">
        <f>SUM(E19:E20)</f>
        <v>#REF!</v>
      </c>
      <c r="F21" s="40" t="e">
        <f>SUM(F19:F20)</f>
        <v>#REF!</v>
      </c>
      <c r="H21" s="40" t="e">
        <f aca="true" t="shared" si="11" ref="H21:N21">SUM(H19:H20)</f>
        <v>#REF!</v>
      </c>
      <c r="I21" s="40" t="e">
        <f t="shared" si="11"/>
        <v>#REF!</v>
      </c>
      <c r="J21" s="40" t="e">
        <f t="shared" si="11"/>
        <v>#REF!</v>
      </c>
      <c r="K21" s="40">
        <f t="shared" si="11"/>
        <v>0</v>
      </c>
      <c r="L21" s="40" t="e">
        <f t="shared" si="11"/>
        <v>#REF!</v>
      </c>
      <c r="M21" s="40">
        <f t="shared" si="11"/>
        <v>0</v>
      </c>
      <c r="N21" s="40" t="e">
        <f t="shared" si="11"/>
        <v>#REF!</v>
      </c>
      <c r="O21" s="40"/>
      <c r="P21" s="40"/>
    </row>
    <row r="22" spans="3:24" ht="15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V22" s="40"/>
      <c r="W22" s="40"/>
      <c r="X22" s="40"/>
    </row>
    <row r="23" spans="9:24" ht="15">
      <c r="I23" s="61" t="s">
        <v>57</v>
      </c>
      <c r="J23" s="61" t="s">
        <v>8</v>
      </c>
      <c r="V23" s="40"/>
      <c r="W23" s="40"/>
      <c r="X23" s="40"/>
    </row>
    <row r="24" spans="7:25" ht="15">
      <c r="G24" s="335" t="s">
        <v>53</v>
      </c>
      <c r="H24" s="335"/>
      <c r="I24" s="40" t="e">
        <f>H19+K19-L19</f>
        <v>#REF!</v>
      </c>
      <c r="J24" s="40" t="e">
        <f>H21+K21-L21</f>
        <v>#REF!</v>
      </c>
      <c r="K24" s="40"/>
      <c r="L24" s="40"/>
      <c r="Y24" s="40"/>
    </row>
    <row r="25" spans="7:12" ht="15">
      <c r="G25" s="335" t="s">
        <v>54</v>
      </c>
      <c r="H25" s="335"/>
      <c r="I25" s="40" t="e">
        <f>I24*0.06</f>
        <v>#REF!</v>
      </c>
      <c r="J25" s="40" t="e">
        <f>J24*0.06</f>
        <v>#REF!</v>
      </c>
      <c r="K25" s="40"/>
      <c r="L25" s="40"/>
    </row>
    <row r="26" spans="7:17" ht="15">
      <c r="G26" s="335" t="s">
        <v>55</v>
      </c>
      <c r="H26" s="335"/>
      <c r="I26" s="40" t="e">
        <f>H19*0.02</f>
        <v>#REF!</v>
      </c>
      <c r="J26" s="40" t="e">
        <f>H21*0.02</f>
        <v>#REF!</v>
      </c>
      <c r="K26" s="40"/>
      <c r="L26" s="40"/>
      <c r="Q26" s="48"/>
    </row>
    <row r="27" spans="7:12" ht="15.75" thickBot="1">
      <c r="G27" s="335" t="s">
        <v>36</v>
      </c>
      <c r="H27" s="335"/>
      <c r="I27" s="44">
        <f>'COP TUXTLA'!S85</f>
        <v>25169.65620299588</v>
      </c>
      <c r="J27" s="44">
        <f>I27</f>
        <v>25169.65620299588</v>
      </c>
      <c r="K27" s="43"/>
      <c r="L27" s="43"/>
    </row>
    <row r="28" spans="7:12" ht="15">
      <c r="G28" s="335" t="s">
        <v>30</v>
      </c>
      <c r="H28" s="335"/>
      <c r="I28" s="40" t="e">
        <f>SUM(I24:I27)</f>
        <v>#REF!</v>
      </c>
      <c r="J28" s="40" t="e">
        <f>SUM(J24:J27)</f>
        <v>#REF!</v>
      </c>
      <c r="K28" s="54"/>
      <c r="L28" s="54"/>
    </row>
    <row r="29" spans="7:12" ht="15.75" thickBot="1">
      <c r="G29" s="335" t="s">
        <v>62</v>
      </c>
      <c r="H29" s="335"/>
      <c r="I29" s="42" t="e">
        <f>I28*0.16</f>
        <v>#REF!</v>
      </c>
      <c r="J29" s="42" t="e">
        <f>J28*0.16</f>
        <v>#REF!</v>
      </c>
      <c r="K29" s="54"/>
      <c r="L29" s="54"/>
    </row>
    <row r="30" spans="7:12" ht="15">
      <c r="G30" s="335" t="s">
        <v>8</v>
      </c>
      <c r="H30" s="335"/>
      <c r="I30" s="40" t="e">
        <f>I28+I29</f>
        <v>#REF!</v>
      </c>
      <c r="J30" s="40" t="e">
        <f>J28+J29</f>
        <v>#REF!</v>
      </c>
      <c r="K30" s="54"/>
      <c r="L30" s="54"/>
    </row>
    <row r="31" ht="15">
      <c r="J31" s="40"/>
    </row>
    <row r="32" ht="15">
      <c r="J32" s="40" t="e">
        <f>J30+J31</f>
        <v>#REF!</v>
      </c>
    </row>
    <row r="34" spans="7:11" ht="15">
      <c r="G34" s="52"/>
      <c r="H34" s="53"/>
      <c r="I34" s="53"/>
      <c r="J34" s="53"/>
      <c r="K34" s="53"/>
    </row>
    <row r="36" ht="15">
      <c r="M36" s="40"/>
    </row>
    <row r="37" ht="15">
      <c r="M37" s="40"/>
    </row>
    <row r="38" ht="15">
      <c r="M38" s="40"/>
    </row>
  </sheetData>
  <sheetProtection/>
  <mergeCells count="30">
    <mergeCell ref="P4:T4"/>
    <mergeCell ref="U4:U5"/>
    <mergeCell ref="V4:V5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W4:X4"/>
    <mergeCell ref="A6:B6"/>
    <mergeCell ref="C17:G17"/>
    <mergeCell ref="H17:H18"/>
    <mergeCell ref="I17:M17"/>
    <mergeCell ref="N17:N18"/>
    <mergeCell ref="P17:P18"/>
    <mergeCell ref="I4:I5"/>
    <mergeCell ref="J4:N4"/>
    <mergeCell ref="O4:O5"/>
    <mergeCell ref="G30:H30"/>
    <mergeCell ref="G24:H24"/>
    <mergeCell ref="G25:H25"/>
    <mergeCell ref="G26:H26"/>
    <mergeCell ref="G27:H27"/>
    <mergeCell ref="G28:H28"/>
    <mergeCell ref="G29:H29"/>
  </mergeCells>
  <printOptions/>
  <pageMargins left="0.7480314960629921" right="0.7480314960629921" top="0.984251968503937" bottom="0.984251968503937" header="0" footer="0"/>
  <pageSetup horizontalDpi="120" verticalDpi="120" orientation="landscape" scale="30" r:id="rId1"/>
  <ignoredErrors>
    <ignoredError sqref="K12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2:AE40"/>
  <sheetViews>
    <sheetView zoomScalePageLayoutView="0" workbookViewId="0" topLeftCell="A1">
      <pane xSplit="2" topLeftCell="K1" activePane="topRight" state="frozen"/>
      <selection pane="topLeft" activeCell="A4" sqref="A4"/>
      <selection pane="topRight" activeCell="O7" sqref="O7"/>
    </sheetView>
  </sheetViews>
  <sheetFormatPr defaultColWidth="11.421875" defaultRowHeight="15"/>
  <cols>
    <col min="1" max="1" width="7.57421875" style="65" customWidth="1"/>
    <col min="2" max="2" width="38.57421875" style="0" customWidth="1"/>
    <col min="3" max="3" width="16.57421875" style="0" customWidth="1"/>
    <col min="4" max="4" width="13.00390625" style="0" customWidth="1"/>
    <col min="5" max="5" width="15.00390625" style="0" customWidth="1"/>
    <col min="6" max="6" width="23.7109375" style="66" customWidth="1"/>
    <col min="7" max="7" width="13.00390625" style="66" customWidth="1"/>
    <col min="8" max="8" width="13.00390625" style="0" customWidth="1"/>
    <col min="9" max="9" width="15.57421875" style="0" customWidth="1"/>
    <col min="10" max="10" width="14.7109375" style="0" customWidth="1"/>
    <col min="11" max="12" width="13.00390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96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15</v>
      </c>
      <c r="J7" s="38" t="e">
        <f>G7*I7</f>
        <v>#REF!</v>
      </c>
      <c r="K7" s="38" t="e">
        <f>J7*0.1</f>
        <v>#REF!</v>
      </c>
      <c r="L7" s="38" t="e">
        <f>J7*0.1</f>
        <v>#REF!</v>
      </c>
      <c r="M7" s="38" t="e">
        <f>J7*0.15</f>
        <v>#REF!</v>
      </c>
      <c r="N7" s="38">
        <v>10</v>
      </c>
      <c r="O7" s="38" t="e">
        <f>SUM(J7:N7)</f>
        <v>#REF!</v>
      </c>
      <c r="P7" s="31" t="e">
        <f>#REF!</f>
        <v>#REF!</v>
      </c>
      <c r="Q7" s="31" t="e">
        <f>#REF!</f>
        <v>#REF!</v>
      </c>
      <c r="R7" s="31">
        <v>0</v>
      </c>
      <c r="S7" s="31" t="e">
        <f>P7-Q7</f>
        <v>#REF!</v>
      </c>
      <c r="T7" s="31"/>
      <c r="U7" s="31" t="e">
        <f aca="true" t="shared" si="0" ref="U7:U14">R7+S7+T7</f>
        <v>#REF!</v>
      </c>
      <c r="V7" s="31" t="e">
        <f>O7-U7</f>
        <v>#REF!</v>
      </c>
      <c r="W7" s="31"/>
      <c r="X7" s="31" t="e">
        <f>V7-W7</f>
        <v>#REF!</v>
      </c>
      <c r="Y7" s="58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15</v>
      </c>
      <c r="J8" s="38" t="e">
        <f aca="true" t="shared" si="1" ref="J8:J14">G8*I8</f>
        <v>#REF!</v>
      </c>
      <c r="K8" s="38" t="e">
        <f aca="true" t="shared" si="2" ref="K8:K14">J8*0.1</f>
        <v>#REF!</v>
      </c>
      <c r="L8" s="38" t="e">
        <f aca="true" t="shared" si="3" ref="L8:L14">J8*0.1</f>
        <v>#REF!</v>
      </c>
      <c r="M8" s="38" t="e">
        <f aca="true" t="shared" si="4" ref="M8:M14">J8*0.15</f>
        <v>#REF!</v>
      </c>
      <c r="N8" s="38">
        <v>10</v>
      </c>
      <c r="O8" s="38" t="e">
        <f aca="true" t="shared" si="5" ref="O8:O14">SUM(J8:N8)</f>
        <v>#REF!</v>
      </c>
      <c r="P8" s="31" t="e">
        <f>#REF!</f>
        <v>#REF!</v>
      </c>
      <c r="Q8" s="31" t="e">
        <f>#REF!</f>
        <v>#REF!</v>
      </c>
      <c r="R8" s="31">
        <v>0</v>
      </c>
      <c r="S8" s="31" t="e">
        <f aca="true" t="shared" si="6" ref="S8:S14">P8-Q8</f>
        <v>#REF!</v>
      </c>
      <c r="T8" s="31"/>
      <c r="U8" s="31" t="e">
        <f t="shared" si="0"/>
        <v>#REF!</v>
      </c>
      <c r="V8" s="31" t="e">
        <f aca="true" t="shared" si="7" ref="V8:V14">O8-U8</f>
        <v>#REF!</v>
      </c>
      <c r="W8" s="31"/>
      <c r="X8" s="31" t="e">
        <f aca="true" t="shared" si="8" ref="X8:X14">V8-W8</f>
        <v>#REF!</v>
      </c>
      <c r="Y8" s="58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15</v>
      </c>
      <c r="J9" s="38" t="e">
        <f t="shared" si="1"/>
        <v>#REF!</v>
      </c>
      <c r="K9" s="38" t="e">
        <f t="shared" si="2"/>
        <v>#REF!</v>
      </c>
      <c r="L9" s="38" t="e">
        <f t="shared" si="3"/>
        <v>#REF!</v>
      </c>
      <c r="M9" s="38" t="e">
        <f t="shared" si="4"/>
        <v>#REF!</v>
      </c>
      <c r="N9" s="38">
        <v>10</v>
      </c>
      <c r="O9" s="38" t="e">
        <f t="shared" si="5"/>
        <v>#REF!</v>
      </c>
      <c r="P9" s="40" t="e">
        <f>#REF!</f>
        <v>#REF!</v>
      </c>
      <c r="Q9" s="31" t="e">
        <f>#REF!</f>
        <v>#REF!</v>
      </c>
      <c r="R9" s="31">
        <v>0</v>
      </c>
      <c r="S9" s="31" t="e">
        <f t="shared" si="6"/>
        <v>#REF!</v>
      </c>
      <c r="T9" s="31"/>
      <c r="U9" s="31" t="e">
        <f t="shared" si="0"/>
        <v>#REF!</v>
      </c>
      <c r="V9" s="31" t="e">
        <f t="shared" si="7"/>
        <v>#REF!</v>
      </c>
      <c r="W9" s="31"/>
      <c r="X9" s="31" t="e">
        <f t="shared" si="8"/>
        <v>#REF!</v>
      </c>
      <c r="Y9" s="58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15</v>
      </c>
      <c r="J10" s="38" t="e">
        <f t="shared" si="1"/>
        <v>#REF!</v>
      </c>
      <c r="K10" s="38" t="e">
        <f t="shared" si="2"/>
        <v>#REF!</v>
      </c>
      <c r="L10" s="38" t="e">
        <f t="shared" si="3"/>
        <v>#REF!</v>
      </c>
      <c r="M10" s="38" t="e">
        <f t="shared" si="4"/>
        <v>#REF!</v>
      </c>
      <c r="N10" s="38">
        <v>10</v>
      </c>
      <c r="O10" s="38" t="e">
        <f t="shared" si="5"/>
        <v>#REF!</v>
      </c>
      <c r="P10" s="31" t="e">
        <f>#REF!</f>
        <v>#REF!</v>
      </c>
      <c r="Q10" s="31" t="e">
        <f>#REF!</f>
        <v>#REF!</v>
      </c>
      <c r="R10" s="31">
        <v>0</v>
      </c>
      <c r="S10" s="31" t="e">
        <f t="shared" si="6"/>
        <v>#REF!</v>
      </c>
      <c r="T10" s="31"/>
      <c r="U10" s="31" t="e">
        <f t="shared" si="0"/>
        <v>#REF!</v>
      </c>
      <c r="V10" s="31" t="e">
        <f t="shared" si="7"/>
        <v>#REF!</v>
      </c>
      <c r="W10" s="31"/>
      <c r="X10" s="31" t="e">
        <f>V10-W10</f>
        <v>#REF!</v>
      </c>
      <c r="Y10" s="60">
        <v>2714169867</v>
      </c>
      <c r="Z10" s="40"/>
      <c r="AA10" s="56"/>
      <c r="AB10" s="25"/>
      <c r="AC10" s="25"/>
      <c r="AD10" s="25"/>
      <c r="AE10" s="25"/>
    </row>
    <row r="11" spans="1:31" ht="15.7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15</v>
      </c>
      <c r="J11" s="38" t="e">
        <f t="shared" si="1"/>
        <v>#REF!</v>
      </c>
      <c r="K11" s="38" t="e">
        <f t="shared" si="2"/>
        <v>#REF!</v>
      </c>
      <c r="L11" s="38" t="e">
        <f t="shared" si="3"/>
        <v>#REF!</v>
      </c>
      <c r="M11" s="38" t="e">
        <f t="shared" si="4"/>
        <v>#REF!</v>
      </c>
      <c r="N11" s="38">
        <v>10</v>
      </c>
      <c r="O11" s="38" t="e">
        <f t="shared" si="5"/>
        <v>#REF!</v>
      </c>
      <c r="P11" s="31" t="e">
        <f>#REF!</f>
        <v>#REF!</v>
      </c>
      <c r="Q11" s="40" t="e">
        <f>#REF!</f>
        <v>#REF!</v>
      </c>
      <c r="R11" s="31">
        <v>0</v>
      </c>
      <c r="S11" s="31" t="e">
        <f t="shared" si="6"/>
        <v>#REF!</v>
      </c>
      <c r="T11" s="31"/>
      <c r="U11" s="31" t="e">
        <f t="shared" si="0"/>
        <v>#REF!</v>
      </c>
      <c r="V11" s="31" t="e">
        <f t="shared" si="7"/>
        <v>#REF!</v>
      </c>
      <c r="W11" s="31"/>
      <c r="X11" s="31" t="e">
        <f t="shared" si="8"/>
        <v>#REF!</v>
      </c>
      <c r="Y11" s="64">
        <v>2753982734</v>
      </c>
      <c r="Z11" s="40"/>
      <c r="AA11" s="57"/>
      <c r="AB11" s="25"/>
      <c r="AC11" s="25"/>
      <c r="AD11" s="25"/>
      <c r="AE11" s="25"/>
    </row>
    <row r="12" spans="1:31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14</v>
      </c>
      <c r="J12" s="38" t="e">
        <f t="shared" si="1"/>
        <v>#REF!</v>
      </c>
      <c r="K12" s="38" t="e">
        <f t="shared" si="2"/>
        <v>#REF!</v>
      </c>
      <c r="L12" s="38" t="e">
        <f t="shared" si="3"/>
        <v>#REF!</v>
      </c>
      <c r="M12" s="38" t="e">
        <f t="shared" si="4"/>
        <v>#REF!</v>
      </c>
      <c r="N12" s="38">
        <v>10</v>
      </c>
      <c r="O12" s="38" t="e">
        <f t="shared" si="5"/>
        <v>#REF!</v>
      </c>
      <c r="P12" s="31" t="e">
        <f>#REF!</f>
        <v>#REF!</v>
      </c>
      <c r="Q12" s="31" t="e">
        <f>#REF!</f>
        <v>#REF!</v>
      </c>
      <c r="R12" s="31">
        <v>0</v>
      </c>
      <c r="S12" s="31" t="e">
        <f t="shared" si="6"/>
        <v>#REF!</v>
      </c>
      <c r="T12" s="31"/>
      <c r="U12" s="31" t="e">
        <f t="shared" si="0"/>
        <v>#REF!</v>
      </c>
      <c r="V12" s="31" t="e">
        <f t="shared" si="7"/>
        <v>#REF!</v>
      </c>
      <c r="W12" s="31">
        <v>99.96</v>
      </c>
      <c r="X12" s="31" t="e">
        <f>V12-W12</f>
        <v>#REF!</v>
      </c>
      <c r="Y12" s="59">
        <v>2758909075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74.57</v>
      </c>
      <c r="H13" s="31">
        <v>85.97</v>
      </c>
      <c r="I13" s="55">
        <v>15</v>
      </c>
      <c r="J13" s="38">
        <f t="shared" si="1"/>
        <v>1118.55</v>
      </c>
      <c r="K13" s="38">
        <f t="shared" si="2"/>
        <v>111.855</v>
      </c>
      <c r="L13" s="38">
        <f t="shared" si="3"/>
        <v>111.855</v>
      </c>
      <c r="M13" s="38">
        <f t="shared" si="4"/>
        <v>167.7825</v>
      </c>
      <c r="N13" s="38">
        <v>10</v>
      </c>
      <c r="O13" s="38">
        <f t="shared" si="5"/>
        <v>1520.0425</v>
      </c>
      <c r="P13" s="31" t="e">
        <f>#REF!</f>
        <v>#REF!</v>
      </c>
      <c r="Q13" s="31" t="e">
        <f>#REF!</f>
        <v>#REF!</v>
      </c>
      <c r="R13" s="31">
        <v>0</v>
      </c>
      <c r="S13" s="31" t="e">
        <f t="shared" si="6"/>
        <v>#REF!</v>
      </c>
      <c r="T13" s="31"/>
      <c r="U13" s="31" t="e">
        <f>R13+S13+T13</f>
        <v>#REF!</v>
      </c>
      <c r="V13" s="31" t="e">
        <f t="shared" si="7"/>
        <v>#REF!</v>
      </c>
      <c r="W13" s="31"/>
      <c r="X13" s="31" t="e">
        <f>V13-W13</f>
        <v>#REF!</v>
      </c>
      <c r="Y13" s="59" t="s">
        <v>93</v>
      </c>
      <c r="Z13" s="40"/>
      <c r="AA13" s="25"/>
      <c r="AB13" s="25"/>
      <c r="AC13" s="25"/>
      <c r="AD13" s="25"/>
      <c r="AE13" s="25"/>
    </row>
    <row r="14" spans="1:31" ht="15">
      <c r="A14" s="32" t="s">
        <v>57</v>
      </c>
      <c r="B14" s="28" t="s">
        <v>87</v>
      </c>
      <c r="C14" s="29">
        <v>71098933956</v>
      </c>
      <c r="D14" s="30" t="s">
        <v>59</v>
      </c>
      <c r="E14" s="36" t="s">
        <v>85</v>
      </c>
      <c r="F14" s="36" t="s">
        <v>86</v>
      </c>
      <c r="G14" s="31" t="e">
        <f>#REF!</f>
        <v>#REF!</v>
      </c>
      <c r="H14" s="31" t="e">
        <f>#REF!</f>
        <v>#REF!</v>
      </c>
      <c r="I14" s="55">
        <v>15</v>
      </c>
      <c r="J14" s="38" t="e">
        <f t="shared" si="1"/>
        <v>#REF!</v>
      </c>
      <c r="K14" s="38" t="e">
        <f t="shared" si="2"/>
        <v>#REF!</v>
      </c>
      <c r="L14" s="38" t="e">
        <f t="shared" si="3"/>
        <v>#REF!</v>
      </c>
      <c r="M14" s="38" t="e">
        <f t="shared" si="4"/>
        <v>#REF!</v>
      </c>
      <c r="N14" s="38">
        <v>10</v>
      </c>
      <c r="O14" s="38" t="e">
        <f t="shared" si="5"/>
        <v>#REF!</v>
      </c>
      <c r="P14" s="31" t="e">
        <f>#REF!</f>
        <v>#REF!</v>
      </c>
      <c r="Q14" s="31" t="e">
        <f>#REF!</f>
        <v>#REF!</v>
      </c>
      <c r="R14" s="31">
        <v>0</v>
      </c>
      <c r="S14" s="31" t="e">
        <f t="shared" si="6"/>
        <v>#REF!</v>
      </c>
      <c r="T14" s="31"/>
      <c r="U14" s="31" t="e">
        <f t="shared" si="0"/>
        <v>#REF!</v>
      </c>
      <c r="V14" s="31" t="e">
        <f t="shared" si="7"/>
        <v>#REF!</v>
      </c>
      <c r="W14" s="31"/>
      <c r="X14" s="31" t="e">
        <f t="shared" si="8"/>
        <v>#REF!</v>
      </c>
      <c r="Y14" s="59">
        <v>2710232416</v>
      </c>
      <c r="Z14" s="40"/>
      <c r="AA14" s="25"/>
      <c r="AB14" s="25"/>
      <c r="AC14" s="25"/>
      <c r="AD14" s="25"/>
      <c r="AE14" s="25"/>
    </row>
    <row r="15" spans="1:25" ht="15">
      <c r="A15" s="27"/>
      <c r="B15" s="25"/>
      <c r="C15" s="25"/>
      <c r="D15" s="25"/>
      <c r="E15" s="37"/>
      <c r="F15" s="37"/>
      <c r="G15" s="25"/>
      <c r="H15" s="49"/>
      <c r="I15" s="65"/>
      <c r="J15" s="41" t="e">
        <f aca="true" t="shared" si="9" ref="J15:X15">SUM(J7:J14)</f>
        <v>#REF!</v>
      </c>
      <c r="K15" s="41" t="e">
        <f t="shared" si="9"/>
        <v>#REF!</v>
      </c>
      <c r="L15" s="41" t="e">
        <f t="shared" si="9"/>
        <v>#REF!</v>
      </c>
      <c r="M15" s="41" t="e">
        <f t="shared" si="9"/>
        <v>#REF!</v>
      </c>
      <c r="N15" s="41">
        <f t="shared" si="9"/>
        <v>80</v>
      </c>
      <c r="O15" s="41" t="e">
        <f t="shared" si="9"/>
        <v>#REF!</v>
      </c>
      <c r="P15" s="41" t="e">
        <f t="shared" si="9"/>
        <v>#REF!</v>
      </c>
      <c r="Q15" s="41" t="e">
        <f t="shared" si="9"/>
        <v>#REF!</v>
      </c>
      <c r="R15" s="41">
        <f t="shared" si="9"/>
        <v>0</v>
      </c>
      <c r="S15" s="41" t="e">
        <f t="shared" si="9"/>
        <v>#REF!</v>
      </c>
      <c r="T15" s="41">
        <f t="shared" si="9"/>
        <v>0</v>
      </c>
      <c r="U15" s="41" t="e">
        <f t="shared" si="9"/>
        <v>#REF!</v>
      </c>
      <c r="V15" s="41" t="e">
        <f t="shared" si="9"/>
        <v>#REF!</v>
      </c>
      <c r="W15" s="41">
        <f>SUM(W7:W14)</f>
        <v>99.96</v>
      </c>
      <c r="X15" s="41" t="e">
        <f t="shared" si="9"/>
        <v>#REF!</v>
      </c>
      <c r="Y15" s="25"/>
    </row>
    <row r="16" spans="9:23" ht="25.5" customHeight="1">
      <c r="I16" s="65"/>
      <c r="W16" s="62"/>
    </row>
    <row r="17" spans="3:24" ht="15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4"/>
      <c r="N17" s="341" t="s">
        <v>50</v>
      </c>
      <c r="O17" s="33"/>
      <c r="P17" s="341" t="s">
        <v>51</v>
      </c>
      <c r="W17" s="62" t="s">
        <v>97</v>
      </c>
      <c r="X17" s="40"/>
    </row>
    <row r="18" spans="3:23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4" t="s">
        <v>49</v>
      </c>
      <c r="N18" s="342"/>
      <c r="O18" s="33"/>
      <c r="P18" s="342"/>
      <c r="W18" s="62"/>
    </row>
    <row r="19" spans="2:24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M15</f>
        <v>#REF!</v>
      </c>
      <c r="G19" s="46">
        <f>N15</f>
        <v>80</v>
      </c>
      <c r="H19" s="43" t="e">
        <f aca="true" t="shared" si="10" ref="H19:N19">O15</f>
        <v>#REF!</v>
      </c>
      <c r="I19" s="43" t="e">
        <f t="shared" si="10"/>
        <v>#REF!</v>
      </c>
      <c r="J19" s="43" t="e">
        <f t="shared" si="10"/>
        <v>#REF!</v>
      </c>
      <c r="K19" s="43">
        <f t="shared" si="10"/>
        <v>0</v>
      </c>
      <c r="L19" s="43" t="e">
        <f t="shared" si="10"/>
        <v>#REF!</v>
      </c>
      <c r="M19" s="43">
        <f t="shared" si="10"/>
        <v>0</v>
      </c>
      <c r="N19" s="43" t="e">
        <f t="shared" si="10"/>
        <v>#REF!</v>
      </c>
      <c r="O19" s="43"/>
      <c r="P19" s="43" t="e">
        <f>V15</f>
        <v>#REF!</v>
      </c>
      <c r="V19" s="40"/>
      <c r="W19" s="40"/>
      <c r="X19" s="40"/>
    </row>
    <row r="20" spans="3:16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3:24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  <c r="U21" s="48"/>
      <c r="V21" s="40"/>
      <c r="W21" s="40"/>
      <c r="X21" s="40"/>
    </row>
    <row r="22" spans="3:16" ht="15">
      <c r="C22" s="40"/>
      <c r="D22" s="40"/>
      <c r="E22" s="40"/>
      <c r="F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3:16" ht="15">
      <c r="C23" s="40" t="e">
        <f>SUM(C19:C22)</f>
        <v>#REF!</v>
      </c>
      <c r="D23" s="40" t="e">
        <f>SUM(D19:D22)</f>
        <v>#REF!</v>
      </c>
      <c r="E23" s="40" t="e">
        <f>SUM(E19:E22)</f>
        <v>#REF!</v>
      </c>
      <c r="F23" s="40" t="e">
        <f>SUM(F19:F22)</f>
        <v>#REF!</v>
      </c>
      <c r="H23" s="40" t="e">
        <f aca="true" t="shared" si="11" ref="H23:N23">SUM(H19:H22)</f>
        <v>#REF!</v>
      </c>
      <c r="I23" s="40" t="e">
        <f t="shared" si="11"/>
        <v>#REF!</v>
      </c>
      <c r="J23" s="40" t="e">
        <f t="shared" si="11"/>
        <v>#REF!</v>
      </c>
      <c r="K23" s="40">
        <f t="shared" si="11"/>
        <v>0</v>
      </c>
      <c r="L23" s="40" t="e">
        <f t="shared" si="11"/>
        <v>#REF!</v>
      </c>
      <c r="M23" s="40">
        <f t="shared" si="11"/>
        <v>0</v>
      </c>
      <c r="N23" s="40" t="e">
        <f t="shared" si="11"/>
        <v>#REF!</v>
      </c>
      <c r="O23" s="40"/>
      <c r="P23" s="40"/>
    </row>
    <row r="24" spans="3:24" ht="1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V24" s="40"/>
      <c r="W24" s="40"/>
      <c r="X24" s="40"/>
    </row>
    <row r="25" spans="9:24" ht="15">
      <c r="I25" s="61" t="s">
        <v>57</v>
      </c>
      <c r="J25" s="61" t="s">
        <v>8</v>
      </c>
      <c r="V25" s="40"/>
      <c r="W25" s="40"/>
      <c r="X25" s="40"/>
    </row>
    <row r="26" spans="7:25" ht="15">
      <c r="G26" s="335" t="s">
        <v>53</v>
      </c>
      <c r="H26" s="335"/>
      <c r="I26" s="40" t="e">
        <f>H19+K19-L19</f>
        <v>#REF!</v>
      </c>
      <c r="J26" s="40" t="e">
        <f>H23+K23-L23</f>
        <v>#REF!</v>
      </c>
      <c r="K26" s="40"/>
      <c r="L26" s="40"/>
      <c r="Y26" s="40"/>
    </row>
    <row r="27" spans="7:12" ht="15">
      <c r="G27" s="335" t="s">
        <v>54</v>
      </c>
      <c r="H27" s="335"/>
      <c r="I27" s="40" t="e">
        <f>I26*0.06</f>
        <v>#REF!</v>
      </c>
      <c r="J27" s="40" t="e">
        <f>J26*0.06</f>
        <v>#REF!</v>
      </c>
      <c r="K27" s="40"/>
      <c r="L27" s="40"/>
    </row>
    <row r="28" spans="7:17" ht="15">
      <c r="G28" s="335" t="s">
        <v>55</v>
      </c>
      <c r="H28" s="335"/>
      <c r="I28" s="40" t="e">
        <f>H19*0.02</f>
        <v>#REF!</v>
      </c>
      <c r="J28" s="40" t="e">
        <f>H23*0.02</f>
        <v>#REF!</v>
      </c>
      <c r="K28" s="40"/>
      <c r="L28" s="40"/>
      <c r="Q28" s="48"/>
    </row>
    <row r="29" spans="7:12" ht="15.75" thickBot="1">
      <c r="G29" s="335" t="s">
        <v>36</v>
      </c>
      <c r="H29" s="335"/>
      <c r="I29" s="44">
        <f>'COP TUXTLA'!S85</f>
        <v>25169.65620299588</v>
      </c>
      <c r="J29" s="44">
        <f>I29</f>
        <v>25169.65620299588</v>
      </c>
      <c r="K29" s="43"/>
      <c r="L29" s="43"/>
    </row>
    <row r="30" spans="7:12" ht="15">
      <c r="G30" s="335" t="s">
        <v>30</v>
      </c>
      <c r="H30" s="335"/>
      <c r="I30" s="40" t="e">
        <f>SUM(I26:I29)</f>
        <v>#REF!</v>
      </c>
      <c r="J30" s="40" t="e">
        <f>SUM(J26:J29)</f>
        <v>#REF!</v>
      </c>
      <c r="K30" s="54"/>
      <c r="L30" s="54"/>
    </row>
    <row r="31" spans="7:12" ht="15.75" thickBot="1">
      <c r="G31" s="335" t="s">
        <v>62</v>
      </c>
      <c r="H31" s="335"/>
      <c r="I31" s="42" t="e">
        <f>I30*0.16</f>
        <v>#REF!</v>
      </c>
      <c r="J31" s="42" t="e">
        <f>J30*0.16</f>
        <v>#REF!</v>
      </c>
      <c r="K31" s="54"/>
      <c r="L31" s="54"/>
    </row>
    <row r="32" spans="7:12" ht="15">
      <c r="G32" s="335" t="s">
        <v>8</v>
      </c>
      <c r="H32" s="335"/>
      <c r="I32" s="40" t="e">
        <f>I30+I31</f>
        <v>#REF!</v>
      </c>
      <c r="J32" s="40" t="e">
        <f>J30+J31</f>
        <v>#REF!</v>
      </c>
      <c r="K32" s="54"/>
      <c r="L32" s="54"/>
    </row>
    <row r="33" ht="15">
      <c r="J33" s="40"/>
    </row>
    <row r="34" ht="15">
      <c r="J34" s="40" t="e">
        <f>J32+J33</f>
        <v>#REF!</v>
      </c>
    </row>
    <row r="36" spans="7:11" ht="15">
      <c r="G36" s="52"/>
      <c r="H36" s="53"/>
      <c r="I36" s="53"/>
      <c r="J36" s="53"/>
      <c r="K36" s="53"/>
    </row>
    <row r="38" ht="15">
      <c r="M38" s="40"/>
    </row>
    <row r="39" ht="15">
      <c r="M39" s="40"/>
    </row>
    <row r="40" ht="15">
      <c r="M40" s="40"/>
    </row>
  </sheetData>
  <sheetProtection/>
  <mergeCells count="30">
    <mergeCell ref="P4:T4"/>
    <mergeCell ref="U4:U5"/>
    <mergeCell ref="V4:V5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W4:X4"/>
    <mergeCell ref="A6:B6"/>
    <mergeCell ref="C17:G17"/>
    <mergeCell ref="H17:H18"/>
    <mergeCell ref="I17:M17"/>
    <mergeCell ref="N17:N18"/>
    <mergeCell ref="P17:P18"/>
    <mergeCell ref="I4:I5"/>
    <mergeCell ref="J4:N4"/>
    <mergeCell ref="O4:O5"/>
    <mergeCell ref="G32:H32"/>
    <mergeCell ref="G26:H26"/>
    <mergeCell ref="G27:H27"/>
    <mergeCell ref="G28:H28"/>
    <mergeCell ref="G29:H29"/>
    <mergeCell ref="G30:H30"/>
    <mergeCell ref="G31:H31"/>
  </mergeCells>
  <printOptions/>
  <pageMargins left="0.7480314960629921" right="0.7480314960629921" top="0.984251968503937" bottom="0.984251968503937" header="0" footer="0"/>
  <pageSetup horizontalDpi="120" verticalDpi="12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84"/>
  <sheetViews>
    <sheetView zoomScalePageLayoutView="0" workbookViewId="0" topLeftCell="A33">
      <selection activeCell="D46" sqref="D46"/>
    </sheetView>
  </sheetViews>
  <sheetFormatPr defaultColWidth="11.421875" defaultRowHeight="15"/>
  <cols>
    <col min="1" max="1" width="8.00390625" style="0" bestFit="1" customWidth="1"/>
    <col min="2" max="2" width="29.421875" style="0" bestFit="1" customWidth="1"/>
    <col min="4" max="5" width="12.57421875" style="0" customWidth="1"/>
  </cols>
  <sheetData>
    <row r="1" spans="2:9" ht="15">
      <c r="B1" t="s">
        <v>90</v>
      </c>
      <c r="I1" t="s">
        <v>123</v>
      </c>
    </row>
    <row r="2" spans="2:14" ht="15.75" thickBot="1">
      <c r="B2" t="s">
        <v>98</v>
      </c>
      <c r="D2" s="53"/>
      <c r="E2" s="53"/>
      <c r="I2" s="89" t="s">
        <v>124</v>
      </c>
      <c r="J2" s="90"/>
      <c r="K2" s="90"/>
      <c r="L2" s="90"/>
      <c r="M2" s="90"/>
      <c r="N2" s="90"/>
    </row>
    <row r="3" spans="2:14" ht="46.5" thickBot="1" thickTop="1">
      <c r="B3" s="71" t="s">
        <v>99</v>
      </c>
      <c r="C3" s="71" t="s">
        <v>100</v>
      </c>
      <c r="D3" s="71" t="s">
        <v>101</v>
      </c>
      <c r="E3" s="71"/>
      <c r="F3" s="72" t="s">
        <v>102</v>
      </c>
      <c r="I3" s="115" t="s">
        <v>125</v>
      </c>
      <c r="J3" s="115" t="s">
        <v>126</v>
      </c>
      <c r="K3" s="115" t="s">
        <v>127</v>
      </c>
      <c r="L3" s="115" t="s">
        <v>128</v>
      </c>
      <c r="M3" s="90"/>
      <c r="N3" s="90"/>
    </row>
    <row r="4" spans="2:14" ht="34.5" thickTop="1">
      <c r="B4" s="73">
        <v>0.01</v>
      </c>
      <c r="C4" s="73">
        <f>B5-0.01</f>
        <v>496.07</v>
      </c>
      <c r="D4" s="73">
        <f>P4</f>
        <v>0</v>
      </c>
      <c r="E4" s="73"/>
      <c r="F4" s="74">
        <v>0.0192</v>
      </c>
      <c r="I4" s="115"/>
      <c r="J4" s="115"/>
      <c r="K4" s="115"/>
      <c r="L4" s="115" t="s">
        <v>129</v>
      </c>
      <c r="M4" s="90"/>
      <c r="N4" s="90"/>
    </row>
    <row r="5" spans="2:14" ht="15">
      <c r="B5" s="73">
        <v>496.08</v>
      </c>
      <c r="C5" s="73">
        <f>B6-0.01</f>
        <v>4210.41</v>
      </c>
      <c r="D5" s="73">
        <v>9.52</v>
      </c>
      <c r="E5" s="73"/>
      <c r="F5" s="74">
        <v>0.064</v>
      </c>
      <c r="I5" s="115" t="s">
        <v>130</v>
      </c>
      <c r="J5" s="115" t="s">
        <v>130</v>
      </c>
      <c r="K5" s="115" t="s">
        <v>130</v>
      </c>
      <c r="L5" s="115" t="s">
        <v>131</v>
      </c>
      <c r="M5" s="90"/>
      <c r="N5" s="90"/>
    </row>
    <row r="6" spans="2:14" ht="15">
      <c r="B6" s="73">
        <v>4210.42</v>
      </c>
      <c r="C6" s="73">
        <f>B7-0.01</f>
        <v>7399.42</v>
      </c>
      <c r="D6" s="73">
        <v>247.23</v>
      </c>
      <c r="E6" s="73"/>
      <c r="F6" s="74">
        <v>0.1088</v>
      </c>
      <c r="I6" s="115">
        <v>0.01</v>
      </c>
      <c r="J6" s="115">
        <v>244.8</v>
      </c>
      <c r="K6" s="115">
        <v>0</v>
      </c>
      <c r="L6" s="92">
        <v>0.0192</v>
      </c>
      <c r="M6" s="90"/>
      <c r="N6" s="90"/>
    </row>
    <row r="7" spans="2:14" ht="15">
      <c r="B7" s="73">
        <v>7399.43</v>
      </c>
      <c r="C7" s="73">
        <f>B8-0.01</f>
        <v>8601.5</v>
      </c>
      <c r="D7" s="73">
        <v>594.24</v>
      </c>
      <c r="E7" s="73"/>
      <c r="F7" s="74">
        <v>0.16</v>
      </c>
      <c r="I7" s="115">
        <v>244.81</v>
      </c>
      <c r="J7" s="93">
        <v>2077.5</v>
      </c>
      <c r="K7" s="115">
        <v>4.65</v>
      </c>
      <c r="L7" s="92">
        <v>0.064</v>
      </c>
      <c r="M7" s="90"/>
      <c r="N7" s="90"/>
    </row>
    <row r="8" spans="2:14" ht="15">
      <c r="B8" s="73">
        <v>8601.51</v>
      </c>
      <c r="C8" s="73">
        <v>10298.35</v>
      </c>
      <c r="D8" s="73">
        <v>786.55</v>
      </c>
      <c r="E8" s="73"/>
      <c r="F8" s="74">
        <v>0.1792</v>
      </c>
      <c r="I8" s="93">
        <v>2077.51</v>
      </c>
      <c r="J8" s="93">
        <v>3651</v>
      </c>
      <c r="K8" s="115">
        <v>121.95</v>
      </c>
      <c r="L8" s="92">
        <v>0.1088</v>
      </c>
      <c r="M8" s="90"/>
      <c r="N8" s="90"/>
    </row>
    <row r="9" spans="2:14" ht="15">
      <c r="B9" s="73">
        <v>10298.36</v>
      </c>
      <c r="C9" s="73">
        <v>20770.29</v>
      </c>
      <c r="D9" s="73">
        <v>1090.62</v>
      </c>
      <c r="E9" s="73"/>
      <c r="F9" s="74">
        <v>0.2136</v>
      </c>
      <c r="I9" s="93">
        <v>3651.01</v>
      </c>
      <c r="J9" s="93">
        <v>4244.1</v>
      </c>
      <c r="K9" s="115">
        <v>293.25</v>
      </c>
      <c r="L9" s="94">
        <v>0.16</v>
      </c>
      <c r="M9" s="90"/>
      <c r="N9" s="90"/>
    </row>
    <row r="10" spans="2:14" ht="15">
      <c r="B10" s="73">
        <v>20770.3</v>
      </c>
      <c r="C10" s="73">
        <v>32736.83</v>
      </c>
      <c r="D10" s="73">
        <v>3327.42</v>
      </c>
      <c r="E10" s="73"/>
      <c r="F10" s="74">
        <v>0.2352</v>
      </c>
      <c r="I10" s="93">
        <v>4244.11</v>
      </c>
      <c r="J10" s="93">
        <v>5081.4</v>
      </c>
      <c r="K10" s="115">
        <v>388.05</v>
      </c>
      <c r="L10" s="92">
        <v>0.1792</v>
      </c>
      <c r="M10" s="90"/>
      <c r="N10" s="90"/>
    </row>
    <row r="11" spans="2:14" ht="15">
      <c r="B11" s="73">
        <v>32736.84</v>
      </c>
      <c r="C11" s="73" t="s">
        <v>103</v>
      </c>
      <c r="D11" s="73">
        <v>6141.95</v>
      </c>
      <c r="E11" s="73"/>
      <c r="F11" s="74">
        <v>0.3</v>
      </c>
      <c r="I11" s="93">
        <v>5081.41</v>
      </c>
      <c r="J11" s="93">
        <v>10248.45</v>
      </c>
      <c r="K11" s="115">
        <v>538.2</v>
      </c>
      <c r="L11" s="92">
        <v>0.2136</v>
      </c>
      <c r="M11" s="90"/>
      <c r="N11" s="90"/>
    </row>
    <row r="12" spans="3:14" ht="15">
      <c r="C12" s="75"/>
      <c r="D12" s="75"/>
      <c r="E12" s="75"/>
      <c r="F12" s="75"/>
      <c r="G12" s="76"/>
      <c r="I12" s="93">
        <v>10248.46</v>
      </c>
      <c r="J12" s="93">
        <v>16153.05</v>
      </c>
      <c r="K12" s="93">
        <v>1641.75</v>
      </c>
      <c r="L12" s="92">
        <v>0.2352</v>
      </c>
      <c r="M12" s="90"/>
      <c r="N12" s="90"/>
    </row>
    <row r="13" spans="3:14" ht="15">
      <c r="C13" s="75"/>
      <c r="D13" s="75"/>
      <c r="E13" s="75"/>
      <c r="F13" s="75"/>
      <c r="G13" s="76"/>
      <c r="I13" s="93">
        <v>16153.06</v>
      </c>
      <c r="J13" s="115" t="s">
        <v>103</v>
      </c>
      <c r="K13" s="93">
        <v>3030.6</v>
      </c>
      <c r="L13" s="94">
        <v>0.3</v>
      </c>
      <c r="M13" s="90"/>
      <c r="N13" s="90"/>
    </row>
    <row r="14" spans="3:14" ht="15">
      <c r="C14" s="75"/>
      <c r="D14" s="75"/>
      <c r="E14" s="75"/>
      <c r="F14" s="75"/>
      <c r="G14" s="76"/>
      <c r="I14" s="89" t="s">
        <v>132</v>
      </c>
      <c r="J14" s="90"/>
      <c r="K14" s="90"/>
      <c r="L14" s="90"/>
      <c r="M14" s="90"/>
      <c r="N14" s="90"/>
    </row>
    <row r="15" spans="3:14" ht="15">
      <c r="C15" s="75"/>
      <c r="D15" s="75"/>
      <c r="E15" s="75"/>
      <c r="F15" s="75"/>
      <c r="G15" s="76"/>
      <c r="I15" s="330" t="s">
        <v>133</v>
      </c>
      <c r="J15" s="330"/>
      <c r="K15" s="330"/>
      <c r="L15" s="330"/>
      <c r="M15" s="330"/>
      <c r="N15" s="330"/>
    </row>
    <row r="16" spans="2:14" ht="15.75" thickBot="1">
      <c r="B16" s="23" t="s">
        <v>104</v>
      </c>
      <c r="C16" s="23"/>
      <c r="D16" s="23"/>
      <c r="E16" s="23"/>
      <c r="I16" s="330" t="s">
        <v>134</v>
      </c>
      <c r="J16" s="330"/>
      <c r="K16" s="330" t="s">
        <v>135</v>
      </c>
      <c r="L16" s="330"/>
      <c r="M16" s="330" t="s">
        <v>136</v>
      </c>
      <c r="N16" s="330"/>
    </row>
    <row r="17" spans="2:14" ht="24" thickBot="1" thickTop="1">
      <c r="B17" s="71" t="s">
        <v>99</v>
      </c>
      <c r="C17" s="71" t="s">
        <v>100</v>
      </c>
      <c r="D17" s="72" t="s">
        <v>105</v>
      </c>
      <c r="E17" s="124"/>
      <c r="I17" s="330" t="s">
        <v>130</v>
      </c>
      <c r="J17" s="330"/>
      <c r="K17" s="330" t="s">
        <v>130</v>
      </c>
      <c r="L17" s="330"/>
      <c r="M17" s="330" t="s">
        <v>130</v>
      </c>
      <c r="N17" s="330"/>
    </row>
    <row r="18" spans="2:14" ht="15.75" thickTop="1">
      <c r="B18" s="73">
        <v>0.01</v>
      </c>
      <c r="C18" s="73">
        <f aca="true" t="shared" si="0" ref="C18:C27">B19-0.01</f>
        <v>1768.96</v>
      </c>
      <c r="D18" s="73">
        <v>407.02</v>
      </c>
      <c r="E18" s="73"/>
      <c r="J18" s="115">
        <v>0.01</v>
      </c>
      <c r="K18" s="115">
        <v>872.85</v>
      </c>
      <c r="L18" s="115">
        <v>200.85</v>
      </c>
      <c r="N18" s="115"/>
    </row>
    <row r="19" spans="2:14" ht="15">
      <c r="B19" s="73">
        <v>1768.97</v>
      </c>
      <c r="C19" s="73">
        <f t="shared" si="0"/>
        <v>2653.3799999999997</v>
      </c>
      <c r="D19" s="73">
        <v>406.83</v>
      </c>
      <c r="E19" s="73"/>
      <c r="J19" s="115">
        <v>872.86</v>
      </c>
      <c r="K19" s="93">
        <v>1309.2</v>
      </c>
      <c r="L19" s="115">
        <v>200.7</v>
      </c>
      <c r="N19" s="115"/>
    </row>
    <row r="20" spans="2:14" ht="15">
      <c r="B20" s="73">
        <v>2653.39</v>
      </c>
      <c r="C20" s="73">
        <f t="shared" si="0"/>
        <v>3472.8399999999997</v>
      </c>
      <c r="D20" s="73">
        <v>406.62</v>
      </c>
      <c r="E20" s="73"/>
      <c r="J20" s="93">
        <v>1309.21</v>
      </c>
      <c r="K20" s="93">
        <v>1713.6</v>
      </c>
      <c r="L20" s="115">
        <v>200.7</v>
      </c>
      <c r="N20" s="115"/>
    </row>
    <row r="21" spans="2:14" ht="15">
      <c r="B21" s="73">
        <v>3472.85</v>
      </c>
      <c r="C21" s="73">
        <f t="shared" si="0"/>
        <v>3537.87</v>
      </c>
      <c r="D21" s="73">
        <v>392.77</v>
      </c>
      <c r="E21" s="73"/>
      <c r="J21" s="93">
        <v>1713.61</v>
      </c>
      <c r="K21" s="93">
        <v>1745.7</v>
      </c>
      <c r="L21" s="115">
        <v>193.8</v>
      </c>
      <c r="N21" s="115"/>
    </row>
    <row r="22" spans="2:14" ht="15">
      <c r="B22" s="73">
        <v>3537.88</v>
      </c>
      <c r="C22" s="73">
        <f t="shared" si="0"/>
        <v>4446.15</v>
      </c>
      <c r="D22" s="73">
        <v>382.46</v>
      </c>
      <c r="E22" s="73"/>
      <c r="J22" s="93">
        <v>1745.71</v>
      </c>
      <c r="K22" s="93">
        <v>2193.75</v>
      </c>
      <c r="L22" s="115">
        <v>188.7</v>
      </c>
      <c r="N22" s="115"/>
    </row>
    <row r="23" spans="2:14" ht="15">
      <c r="B23" s="73">
        <v>4446.16</v>
      </c>
      <c r="C23" s="73">
        <f t="shared" si="0"/>
        <v>4717.179999999999</v>
      </c>
      <c r="D23" s="73">
        <v>354.23</v>
      </c>
      <c r="E23" s="73"/>
      <c r="J23" s="93">
        <v>2193.76</v>
      </c>
      <c r="K23" s="93">
        <v>2327.55</v>
      </c>
      <c r="L23" s="115">
        <v>174.75</v>
      </c>
      <c r="N23" s="115"/>
    </row>
    <row r="24" spans="2:14" ht="15">
      <c r="B24" s="73">
        <v>4717.19</v>
      </c>
      <c r="C24" s="73">
        <f t="shared" si="0"/>
        <v>5335.42</v>
      </c>
      <c r="D24" s="73">
        <v>324.87</v>
      </c>
      <c r="E24" s="73"/>
      <c r="J24" s="93">
        <v>2327.56</v>
      </c>
      <c r="K24" s="93">
        <v>2632.65</v>
      </c>
      <c r="L24" s="115">
        <v>160.35</v>
      </c>
      <c r="N24" s="115"/>
    </row>
    <row r="25" spans="2:14" ht="15">
      <c r="B25" s="73">
        <v>5335.43</v>
      </c>
      <c r="C25" s="73">
        <f t="shared" si="0"/>
        <v>6224.67</v>
      </c>
      <c r="D25" s="73">
        <v>294.63</v>
      </c>
      <c r="E25" s="73"/>
      <c r="J25" s="93">
        <v>2632.66</v>
      </c>
      <c r="K25" s="93">
        <v>3071.4</v>
      </c>
      <c r="L25" s="115">
        <v>145.35</v>
      </c>
      <c r="N25" s="115"/>
    </row>
    <row r="26" spans="2:14" ht="15">
      <c r="B26" s="73">
        <v>6224.68</v>
      </c>
      <c r="C26" s="73">
        <f t="shared" si="0"/>
        <v>7113.9</v>
      </c>
      <c r="D26" s="73">
        <v>253.54</v>
      </c>
      <c r="E26" s="73"/>
      <c r="J26" s="93">
        <v>3071.41</v>
      </c>
      <c r="K26" s="93">
        <v>3510.15</v>
      </c>
      <c r="L26" s="115">
        <v>125.1</v>
      </c>
      <c r="N26" s="115"/>
    </row>
    <row r="27" spans="2:14" ht="15">
      <c r="B27" s="73">
        <v>7113.91</v>
      </c>
      <c r="C27" s="73">
        <f t="shared" si="0"/>
        <v>7382.33</v>
      </c>
      <c r="D27" s="73">
        <v>217.61</v>
      </c>
      <c r="E27" s="73"/>
      <c r="J27" s="93">
        <v>3510.16</v>
      </c>
      <c r="K27" s="93">
        <v>3642.6</v>
      </c>
      <c r="L27" s="115">
        <v>107.4</v>
      </c>
      <c r="N27" s="115"/>
    </row>
    <row r="28" spans="2:14" ht="15">
      <c r="B28" s="73">
        <v>7382.34</v>
      </c>
      <c r="C28" s="73" t="s">
        <v>103</v>
      </c>
      <c r="D28" s="73">
        <v>0</v>
      </c>
      <c r="E28" s="73"/>
      <c r="J28" s="93">
        <v>3642.61</v>
      </c>
      <c r="K28" s="115" t="s">
        <v>103</v>
      </c>
      <c r="L28" s="115">
        <v>0</v>
      </c>
      <c r="N28" s="90"/>
    </row>
    <row r="29" ht="15">
      <c r="F29" s="53"/>
    </row>
    <row r="30" ht="15">
      <c r="F30" s="53"/>
    </row>
    <row r="31" spans="6:9" ht="31.5">
      <c r="F31" s="53"/>
      <c r="G31" s="96" t="s">
        <v>123</v>
      </c>
      <c r="I31" s="53"/>
    </row>
    <row r="32" spans="1:18" ht="71.25" customHeight="1">
      <c r="A32" s="77" t="s">
        <v>106</v>
      </c>
      <c r="B32" s="78" t="s">
        <v>107</v>
      </c>
      <c r="C32" s="78" t="s">
        <v>118</v>
      </c>
      <c r="D32" s="78" t="s">
        <v>119</v>
      </c>
      <c r="E32" s="78"/>
      <c r="F32" s="78" t="s">
        <v>108</v>
      </c>
      <c r="G32" s="78" t="s">
        <v>109</v>
      </c>
      <c r="H32" s="78" t="s">
        <v>110</v>
      </c>
      <c r="I32" s="78" t="s">
        <v>111</v>
      </c>
      <c r="J32" s="78" t="s">
        <v>99</v>
      </c>
      <c r="K32" s="78" t="s">
        <v>112</v>
      </c>
      <c r="L32" s="78" t="s">
        <v>113</v>
      </c>
      <c r="M32" s="78" t="s">
        <v>114</v>
      </c>
      <c r="N32" s="78" t="s">
        <v>101</v>
      </c>
      <c r="O32" s="78" t="s">
        <v>115</v>
      </c>
      <c r="P32" s="78" t="s">
        <v>116</v>
      </c>
      <c r="Q32" s="78" t="s">
        <v>115</v>
      </c>
      <c r="R32" s="78" t="s">
        <v>117</v>
      </c>
    </row>
    <row r="33" spans="1:18" ht="15">
      <c r="A33" s="79" t="s">
        <v>120</v>
      </c>
      <c r="B33" s="79"/>
      <c r="F33" s="80"/>
      <c r="G33" s="40"/>
      <c r="H33" s="23"/>
      <c r="I33" s="23"/>
      <c r="J33" s="23"/>
      <c r="K33" s="23"/>
      <c r="L33" s="81"/>
      <c r="M33" s="82"/>
      <c r="N33" s="82"/>
      <c r="O33" s="83"/>
      <c r="P33" s="23"/>
      <c r="Q33" s="23"/>
      <c r="R33" s="23"/>
    </row>
    <row r="34" spans="1:18" ht="15">
      <c r="A34" s="79" t="str">
        <f>'31 JULIO'!A7</f>
        <v>PENSIL</v>
      </c>
      <c r="B34" s="79" t="str">
        <f>'31 JULIO'!B7</f>
        <v>DANIEL CORTES PEREZ</v>
      </c>
      <c r="C34" s="40" t="e">
        <f>'15febrero'!O7</f>
        <v>#REF!</v>
      </c>
      <c r="D34" s="40"/>
      <c r="E34" s="40"/>
      <c r="F34" s="80" t="e">
        <f>C34+D34</f>
        <v>#REF!</v>
      </c>
      <c r="G34" s="40">
        <v>0</v>
      </c>
      <c r="H34" s="80" t="e">
        <f aca="true" t="shared" si="1" ref="H34:H40">F34-G34</f>
        <v>#REF!</v>
      </c>
      <c r="I34" s="80" t="e">
        <f>H34</f>
        <v>#REF!</v>
      </c>
      <c r="J34" s="80" t="e">
        <f>IF(I34&gt;0,LOOKUP(I34,$I$3:$J$13,$I$3:$I$13),0)</f>
        <v>#REF!</v>
      </c>
      <c r="K34" s="80" t="e">
        <f>I34-J34</f>
        <v>#REF!</v>
      </c>
      <c r="L34" s="81" t="e">
        <f>IF(I34&gt;0,LOOKUP(I34,$I$3:$J$11,$L$3:$L$11),0)</f>
        <v>#REF!</v>
      </c>
      <c r="M34" s="97" t="e">
        <f>K34*L34</f>
        <v>#REF!</v>
      </c>
      <c r="N34" s="97" t="e">
        <f>IF(I34&gt;0,LOOKUP(I34,$I$3:$J$13,$K$3:$K$13),0)</f>
        <v>#REF!</v>
      </c>
      <c r="O34" s="98" t="e">
        <f>N34+M34</f>
        <v>#REF!</v>
      </c>
      <c r="P34" s="80" t="e">
        <f>IF(I34&gt;0,LOOKUP(I34,$J$18:$K$28,$L$18:$L$28),0)</f>
        <v>#REF!</v>
      </c>
      <c r="Q34" s="80" t="e">
        <f>IF(O34&gt;P34,O34-P34,0)</f>
        <v>#REF!</v>
      </c>
      <c r="R34" s="80" t="e">
        <f>IF(O34&lt;P34,O34-P34,0)</f>
        <v>#REF!</v>
      </c>
    </row>
    <row r="35" spans="1:18" ht="15">
      <c r="A35" s="79" t="str">
        <f>'31 JULIO'!A8</f>
        <v>PENSIL</v>
      </c>
      <c r="B35" s="79" t="str">
        <f>'31 JULIO'!B8</f>
        <v>FELIPE PEREZ HERNANDEZ</v>
      </c>
      <c r="C35" s="40" t="e">
        <f>'15febrero'!O8</f>
        <v>#REF!</v>
      </c>
      <c r="D35" s="40"/>
      <c r="E35" s="40"/>
      <c r="F35" s="80" t="e">
        <f aca="true" t="shared" si="2" ref="F35:F40">C35+D35</f>
        <v>#REF!</v>
      </c>
      <c r="G35" s="40">
        <v>0</v>
      </c>
      <c r="H35" s="80" t="e">
        <f t="shared" si="1"/>
        <v>#REF!</v>
      </c>
      <c r="I35" s="80" t="e">
        <f aca="true" t="shared" si="3" ref="I35:I40">H35</f>
        <v>#REF!</v>
      </c>
      <c r="J35" s="80" t="e">
        <f aca="true" t="shared" si="4" ref="J35:J40">IF(I35&gt;0,LOOKUP(I35,$I$3:$J$13,$I$3:$I$13),0)</f>
        <v>#REF!</v>
      </c>
      <c r="K35" s="80" t="e">
        <f aca="true" t="shared" si="5" ref="K35:K40">I35-J35</f>
        <v>#REF!</v>
      </c>
      <c r="L35" s="81" t="e">
        <f aca="true" t="shared" si="6" ref="L35:L40">IF(I35&gt;0,LOOKUP(I35,$I$3:$J$11,$L$3:$L$11),0)</f>
        <v>#REF!</v>
      </c>
      <c r="M35" s="97" t="e">
        <f aca="true" t="shared" si="7" ref="M35:M40">K35*L35</f>
        <v>#REF!</v>
      </c>
      <c r="N35" s="97" t="e">
        <f aca="true" t="shared" si="8" ref="N35:N40">IF(I35&gt;0,LOOKUP(I35,$I$3:$J$13,$K$3:$K$13),0)</f>
        <v>#REF!</v>
      </c>
      <c r="O35" s="98" t="e">
        <f aca="true" t="shared" si="9" ref="O35:O40">N35+M35</f>
        <v>#REF!</v>
      </c>
      <c r="P35" s="80" t="e">
        <f aca="true" t="shared" si="10" ref="P35:P40">IF(I35&gt;0,LOOKUP(I35,$J$18:$K$28,$L$18:$L$28),0)</f>
        <v>#REF!</v>
      </c>
      <c r="Q35" s="80" t="e">
        <f aca="true" t="shared" si="11" ref="Q35:Q40">IF(O35&gt;P35,O35-P35,0)</f>
        <v>#REF!</v>
      </c>
      <c r="R35" s="80" t="e">
        <f aca="true" t="shared" si="12" ref="R35:R40">IF(O35&lt;P35,O35-P35,0)</f>
        <v>#REF!</v>
      </c>
    </row>
    <row r="36" spans="1:18" ht="15">
      <c r="A36" s="79" t="str">
        <f>'31 JULIO'!A9</f>
        <v>PENSIL</v>
      </c>
      <c r="B36" s="79" t="str">
        <f>'31 JULIO'!B9</f>
        <v>JOSE ALBERTO GONZALEZ PEREZ</v>
      </c>
      <c r="C36" s="40" t="e">
        <f>'15febrero'!O9</f>
        <v>#REF!</v>
      </c>
      <c r="D36" s="40"/>
      <c r="E36" s="40"/>
      <c r="F36" s="80" t="e">
        <f t="shared" si="2"/>
        <v>#REF!</v>
      </c>
      <c r="G36" s="40">
        <v>0</v>
      </c>
      <c r="H36" s="80" t="e">
        <f t="shared" si="1"/>
        <v>#REF!</v>
      </c>
      <c r="I36" s="80" t="e">
        <f t="shared" si="3"/>
        <v>#REF!</v>
      </c>
      <c r="J36" s="80" t="e">
        <f t="shared" si="4"/>
        <v>#REF!</v>
      </c>
      <c r="K36" s="80" t="e">
        <f t="shared" si="5"/>
        <v>#REF!</v>
      </c>
      <c r="L36" s="81" t="e">
        <f t="shared" si="6"/>
        <v>#REF!</v>
      </c>
      <c r="M36" s="97" t="e">
        <f t="shared" si="7"/>
        <v>#REF!</v>
      </c>
      <c r="N36" s="97" t="e">
        <f t="shared" si="8"/>
        <v>#REF!</v>
      </c>
      <c r="O36" s="98" t="e">
        <f t="shared" si="9"/>
        <v>#REF!</v>
      </c>
      <c r="P36" s="80" t="e">
        <f t="shared" si="10"/>
        <v>#REF!</v>
      </c>
      <c r="Q36" s="80" t="e">
        <f t="shared" si="11"/>
        <v>#REF!</v>
      </c>
      <c r="R36" s="80" t="e">
        <f t="shared" si="12"/>
        <v>#REF!</v>
      </c>
    </row>
    <row r="37" spans="1:18" ht="15">
      <c r="A37" s="79" t="str">
        <f>'31 JULIO'!A10</f>
        <v>PENSIL</v>
      </c>
      <c r="B37" s="79" t="str">
        <f>'31 JULIO'!B10</f>
        <v>LUIS MIGUEL LOPEZ ESCOBEDO</v>
      </c>
      <c r="C37" s="40" t="e">
        <f>'15febrero'!O10</f>
        <v>#REF!</v>
      </c>
      <c r="D37" s="40"/>
      <c r="E37" s="40"/>
      <c r="F37" s="80" t="e">
        <f t="shared" si="2"/>
        <v>#REF!</v>
      </c>
      <c r="G37" s="40">
        <v>0</v>
      </c>
      <c r="H37" s="80" t="e">
        <f t="shared" si="1"/>
        <v>#REF!</v>
      </c>
      <c r="I37" s="80" t="e">
        <f t="shared" si="3"/>
        <v>#REF!</v>
      </c>
      <c r="J37" s="80" t="e">
        <f t="shared" si="4"/>
        <v>#REF!</v>
      </c>
      <c r="K37" s="80" t="e">
        <f t="shared" si="5"/>
        <v>#REF!</v>
      </c>
      <c r="L37" s="81" t="e">
        <f t="shared" si="6"/>
        <v>#REF!</v>
      </c>
      <c r="M37" s="97" t="e">
        <f t="shared" si="7"/>
        <v>#REF!</v>
      </c>
      <c r="N37" s="97" t="e">
        <f t="shared" si="8"/>
        <v>#REF!</v>
      </c>
      <c r="O37" s="98" t="e">
        <f t="shared" si="9"/>
        <v>#REF!</v>
      </c>
      <c r="P37" s="80" t="e">
        <f t="shared" si="10"/>
        <v>#REF!</v>
      </c>
      <c r="Q37" s="80" t="e">
        <f t="shared" si="11"/>
        <v>#REF!</v>
      </c>
      <c r="R37" s="80" t="e">
        <f t="shared" si="12"/>
        <v>#REF!</v>
      </c>
    </row>
    <row r="38" spans="1:18" ht="15">
      <c r="A38" s="79" t="str">
        <f>'31 JULIO'!A12</f>
        <v>PENSIL</v>
      </c>
      <c r="B38" s="79" t="str">
        <f>'31 JULIO'!B12</f>
        <v>LEIBER ARMANDO HERNANDEZ SHILON</v>
      </c>
      <c r="C38" s="40" t="e">
        <f>'15febrero'!O11</f>
        <v>#REF!</v>
      </c>
      <c r="D38" s="40"/>
      <c r="E38" s="40"/>
      <c r="F38" s="80" t="e">
        <f t="shared" si="2"/>
        <v>#REF!</v>
      </c>
      <c r="G38" s="40">
        <v>0</v>
      </c>
      <c r="H38" s="80" t="e">
        <f t="shared" si="1"/>
        <v>#REF!</v>
      </c>
      <c r="I38" s="80" t="e">
        <f t="shared" si="3"/>
        <v>#REF!</v>
      </c>
      <c r="J38" s="80" t="e">
        <f t="shared" si="4"/>
        <v>#REF!</v>
      </c>
      <c r="K38" s="80" t="e">
        <f t="shared" si="5"/>
        <v>#REF!</v>
      </c>
      <c r="L38" s="81" t="e">
        <f t="shared" si="6"/>
        <v>#REF!</v>
      </c>
      <c r="M38" s="97" t="e">
        <f t="shared" si="7"/>
        <v>#REF!</v>
      </c>
      <c r="N38" s="97" t="e">
        <f t="shared" si="8"/>
        <v>#REF!</v>
      </c>
      <c r="O38" s="98" t="e">
        <f t="shared" si="9"/>
        <v>#REF!</v>
      </c>
      <c r="P38" s="80" t="e">
        <f t="shared" si="10"/>
        <v>#REF!</v>
      </c>
      <c r="Q38" s="80" t="e">
        <f t="shared" si="11"/>
        <v>#REF!</v>
      </c>
      <c r="R38" s="80" t="e">
        <f t="shared" si="12"/>
        <v>#REF!</v>
      </c>
    </row>
    <row r="39" spans="1:18" ht="15">
      <c r="A39" s="79" t="str">
        <f>'31 JULIO'!A13</f>
        <v>PENSIL</v>
      </c>
      <c r="B39" s="79" t="str">
        <f>'31 JULIO'!B13</f>
        <v>CARLOS MAGNO SÁNCHEZ LÓPEZ </v>
      </c>
      <c r="C39" s="40" t="e">
        <f>'15febrero'!O12</f>
        <v>#REF!</v>
      </c>
      <c r="D39" s="40"/>
      <c r="E39" s="40"/>
      <c r="F39" s="80" t="e">
        <f t="shared" si="2"/>
        <v>#REF!</v>
      </c>
      <c r="G39" s="40">
        <v>0</v>
      </c>
      <c r="H39" s="80" t="e">
        <f t="shared" si="1"/>
        <v>#REF!</v>
      </c>
      <c r="I39" s="80" t="e">
        <f t="shared" si="3"/>
        <v>#REF!</v>
      </c>
      <c r="J39" s="80" t="e">
        <f t="shared" si="4"/>
        <v>#REF!</v>
      </c>
      <c r="K39" s="80" t="e">
        <f t="shared" si="5"/>
        <v>#REF!</v>
      </c>
      <c r="L39" s="81" t="e">
        <f t="shared" si="6"/>
        <v>#REF!</v>
      </c>
      <c r="M39" s="97" t="e">
        <f t="shared" si="7"/>
        <v>#REF!</v>
      </c>
      <c r="N39" s="97" t="e">
        <f t="shared" si="8"/>
        <v>#REF!</v>
      </c>
      <c r="O39" s="98" t="e">
        <f t="shared" si="9"/>
        <v>#REF!</v>
      </c>
      <c r="P39" s="80" t="e">
        <f t="shared" si="10"/>
        <v>#REF!</v>
      </c>
      <c r="Q39" s="80" t="e">
        <f t="shared" si="11"/>
        <v>#REF!</v>
      </c>
      <c r="R39" s="80" t="e">
        <f t="shared" si="12"/>
        <v>#REF!</v>
      </c>
    </row>
    <row r="40" spans="1:18" ht="15">
      <c r="A40" s="79" t="str">
        <f>'31 JULIO'!A14</f>
        <v>PENSIL</v>
      </c>
      <c r="B40" s="79" t="str">
        <f>'31 JULIO'!B14</f>
        <v>ROSARIO DEL CARMEN SOLIS LOPEZ</v>
      </c>
      <c r="C40" s="40" t="e">
        <f>'15febrero'!O13</f>
        <v>#REF!</v>
      </c>
      <c r="D40" s="40"/>
      <c r="E40" s="40"/>
      <c r="F40" s="80" t="e">
        <f t="shared" si="2"/>
        <v>#REF!</v>
      </c>
      <c r="G40" s="40">
        <v>0</v>
      </c>
      <c r="H40" s="80" t="e">
        <f t="shared" si="1"/>
        <v>#REF!</v>
      </c>
      <c r="I40" s="80" t="e">
        <f t="shared" si="3"/>
        <v>#REF!</v>
      </c>
      <c r="J40" s="80" t="e">
        <f t="shared" si="4"/>
        <v>#REF!</v>
      </c>
      <c r="K40" s="80" t="e">
        <f t="shared" si="5"/>
        <v>#REF!</v>
      </c>
      <c r="L40" s="81" t="e">
        <f t="shared" si="6"/>
        <v>#REF!</v>
      </c>
      <c r="M40" s="97" t="e">
        <f t="shared" si="7"/>
        <v>#REF!</v>
      </c>
      <c r="N40" s="97" t="e">
        <f t="shared" si="8"/>
        <v>#REF!</v>
      </c>
      <c r="O40" s="98" t="e">
        <f t="shared" si="9"/>
        <v>#REF!</v>
      </c>
      <c r="P40" s="80" t="e">
        <f t="shared" si="10"/>
        <v>#REF!</v>
      </c>
      <c r="Q40" s="80" t="e">
        <f t="shared" si="11"/>
        <v>#REF!</v>
      </c>
      <c r="R40" s="80" t="e">
        <f t="shared" si="12"/>
        <v>#REF!</v>
      </c>
    </row>
    <row r="41" spans="1:17" ht="15">
      <c r="A41" s="79"/>
      <c r="B41" s="79"/>
      <c r="C41" s="85"/>
      <c r="D41" s="86"/>
      <c r="E41" s="86"/>
      <c r="F41" s="75"/>
      <c r="G41" s="75"/>
      <c r="H41" s="75"/>
      <c r="I41" s="75"/>
      <c r="J41" s="84"/>
      <c r="K41" s="75"/>
      <c r="L41" s="75"/>
      <c r="M41" s="75"/>
      <c r="N41" s="75"/>
      <c r="O41" s="75"/>
      <c r="P41" s="75"/>
      <c r="Q41" s="53"/>
    </row>
    <row r="42" spans="1:17" ht="15">
      <c r="A42" s="79"/>
      <c r="B42" s="79"/>
      <c r="C42" s="85"/>
      <c r="D42" s="86"/>
      <c r="E42" s="86"/>
      <c r="F42" s="75"/>
      <c r="G42" s="75"/>
      <c r="H42" s="75"/>
      <c r="I42" s="75"/>
      <c r="J42" s="84"/>
      <c r="K42" s="75"/>
      <c r="L42" s="75"/>
      <c r="M42" s="75"/>
      <c r="N42" s="75"/>
      <c r="O42" s="75"/>
      <c r="P42" s="75"/>
      <c r="Q42" s="53"/>
    </row>
    <row r="43" spans="1:17" ht="31.5">
      <c r="A43" s="79"/>
      <c r="B43" s="79"/>
      <c r="C43" s="85"/>
      <c r="D43" s="86"/>
      <c r="E43" s="86"/>
      <c r="F43" s="75"/>
      <c r="G43" s="96" t="s">
        <v>90</v>
      </c>
      <c r="H43" s="75"/>
      <c r="I43" s="75"/>
      <c r="J43" s="84"/>
      <c r="K43" s="75"/>
      <c r="L43" s="75"/>
      <c r="M43" s="75"/>
      <c r="N43" s="75"/>
      <c r="O43" s="75"/>
      <c r="P43" s="75"/>
      <c r="Q43" s="53"/>
    </row>
    <row r="44" spans="1:18" ht="15">
      <c r="A44" s="79" t="s">
        <v>106</v>
      </c>
      <c r="B44" s="79" t="s">
        <v>107</v>
      </c>
      <c r="C44" s="85" t="s">
        <v>118</v>
      </c>
      <c r="D44" s="86" t="s">
        <v>119</v>
      </c>
      <c r="E44" s="86" t="s">
        <v>148</v>
      </c>
      <c r="F44" s="75" t="s">
        <v>108</v>
      </c>
      <c r="G44" s="75" t="s">
        <v>109</v>
      </c>
      <c r="H44" s="75" t="s">
        <v>110</v>
      </c>
      <c r="I44" s="75" t="s">
        <v>111</v>
      </c>
      <c r="J44" s="84" t="s">
        <v>99</v>
      </c>
      <c r="K44" s="75" t="s">
        <v>112</v>
      </c>
      <c r="L44" s="75" t="s">
        <v>113</v>
      </c>
      <c r="M44" s="75" t="s">
        <v>114</v>
      </c>
      <c r="N44" s="75" t="s">
        <v>101</v>
      </c>
      <c r="O44" s="75" t="s">
        <v>115</v>
      </c>
      <c r="P44" s="75" t="s">
        <v>116</v>
      </c>
      <c r="Q44" s="53" t="s">
        <v>115</v>
      </c>
      <c r="R44" t="s">
        <v>117</v>
      </c>
    </row>
    <row r="45" spans="1:17" ht="15">
      <c r="A45" s="79" t="s">
        <v>120</v>
      </c>
      <c r="B45" s="79"/>
      <c r="C45" s="75"/>
      <c r="D45" s="75"/>
      <c r="E45" s="75"/>
      <c r="F45" s="75"/>
      <c r="G45" s="75"/>
      <c r="H45" s="75"/>
      <c r="I45" s="75"/>
      <c r="J45" s="84"/>
      <c r="K45" s="75"/>
      <c r="L45" s="75"/>
      <c r="M45" s="75"/>
      <c r="N45" s="75"/>
      <c r="O45" s="75"/>
      <c r="P45" s="75"/>
      <c r="Q45" s="53"/>
    </row>
    <row r="46" spans="1:18" ht="15">
      <c r="A46" s="79" t="s">
        <v>57</v>
      </c>
      <c r="B46" s="79" t="s">
        <v>58</v>
      </c>
      <c r="C46" s="85" t="e">
        <f>C34</f>
        <v>#REF!</v>
      </c>
      <c r="D46" s="86" t="e">
        <f>'29febrero'!O7</f>
        <v>#REF!</v>
      </c>
      <c r="E46" s="86"/>
      <c r="F46" s="85" t="e">
        <f>C46+D46+E46</f>
        <v>#REF!</v>
      </c>
      <c r="G46" s="75">
        <v>0</v>
      </c>
      <c r="H46" s="85" t="e">
        <f>F46</f>
        <v>#REF!</v>
      </c>
      <c r="I46" s="85" t="e">
        <f>H46</f>
        <v>#REF!</v>
      </c>
      <c r="J46" s="80" t="e">
        <f>IF(I46&gt;0,LOOKUP(I46,$B$3:$C$13,$B$3:$B$13),0)</f>
        <v>#REF!</v>
      </c>
      <c r="K46" s="80" t="e">
        <f>I46-J46</f>
        <v>#REF!</v>
      </c>
      <c r="L46" s="81" t="e">
        <f>IF(I46&gt;0,LOOKUP(I46,$B$3:$C$11,$F$3:$F$11),0)</f>
        <v>#REF!</v>
      </c>
      <c r="M46" s="97" t="e">
        <f>K46*L46</f>
        <v>#REF!</v>
      </c>
      <c r="N46" s="97" t="e">
        <f>IF(I46&gt;0,LOOKUP(I46,$B$3:$C$13,$D$3:$D$13),0)</f>
        <v>#REF!</v>
      </c>
      <c r="O46" s="98" t="e">
        <f>N46+M46</f>
        <v>#REF!</v>
      </c>
      <c r="P46" s="80" t="e">
        <f>IF(I46&gt;0,LOOKUP(I46,$B$18:$C$28,$D$18:$D$28),0)</f>
        <v>#REF!</v>
      </c>
      <c r="Q46" s="80" t="e">
        <f>IF(O46&gt;P46,O46-P46,0)</f>
        <v>#REF!</v>
      </c>
      <c r="R46" s="80" t="e">
        <f>IF(O46&lt;P46,O46-P46,0)</f>
        <v>#REF!</v>
      </c>
    </row>
    <row r="47" spans="1:18" ht="15">
      <c r="A47" s="79" t="s">
        <v>57</v>
      </c>
      <c r="B47" s="79" t="s">
        <v>67</v>
      </c>
      <c r="C47" s="85">
        <v>1819.9384187500002</v>
      </c>
      <c r="D47" s="86" t="e">
        <f>'29febrero'!O8</f>
        <v>#REF!</v>
      </c>
      <c r="E47" s="86"/>
      <c r="F47" s="85" t="e">
        <f aca="true" t="shared" si="13" ref="F47:F52">C47+D47+E47</f>
        <v>#REF!</v>
      </c>
      <c r="G47" s="75">
        <v>0</v>
      </c>
      <c r="H47" s="85" t="e">
        <f aca="true" t="shared" si="14" ref="H47:H52">F47</f>
        <v>#REF!</v>
      </c>
      <c r="I47" s="85" t="e">
        <f aca="true" t="shared" si="15" ref="I47:I52">H47</f>
        <v>#REF!</v>
      </c>
      <c r="J47" s="80" t="e">
        <f aca="true" t="shared" si="16" ref="J47:J52">IF(I47&gt;0,LOOKUP(I47,$B$3:$C$13,$B$3:$B$13),0)</f>
        <v>#REF!</v>
      </c>
      <c r="K47" s="80" t="e">
        <f aca="true" t="shared" si="17" ref="K47:K52">I47-J47</f>
        <v>#REF!</v>
      </c>
      <c r="L47" s="81" t="e">
        <f aca="true" t="shared" si="18" ref="L47:L52">IF(I47&gt;0,LOOKUP(I47,$B$3:$C$11,$F$3:$F$11),0)</f>
        <v>#REF!</v>
      </c>
      <c r="M47" s="97" t="e">
        <f aca="true" t="shared" si="19" ref="M47:M52">K47*L47</f>
        <v>#REF!</v>
      </c>
      <c r="N47" s="97" t="e">
        <f aca="true" t="shared" si="20" ref="N47:N52">IF(I47&gt;0,LOOKUP(I47,$B$3:$C$13,$D$3:$D$13),0)</f>
        <v>#REF!</v>
      </c>
      <c r="O47" s="98" t="e">
        <f aca="true" t="shared" si="21" ref="O47:O52">N47+M47</f>
        <v>#REF!</v>
      </c>
      <c r="P47" s="80" t="e">
        <f aca="true" t="shared" si="22" ref="P47:P52">IF(I47&gt;0,LOOKUP(I47,$B$18:$C$28,$D$18:$D$28),0)</f>
        <v>#REF!</v>
      </c>
      <c r="Q47" s="80" t="e">
        <f aca="true" t="shared" si="23" ref="Q47:Q52">IF(O47&gt;P47,O47-P47,0)</f>
        <v>#REF!</v>
      </c>
      <c r="R47" s="80" t="e">
        <f aca="true" t="shared" si="24" ref="R47:R52">IF(O47&lt;P47,O47-P47,0)</f>
        <v>#REF!</v>
      </c>
    </row>
    <row r="48" spans="1:18" ht="15">
      <c r="A48" s="79" t="s">
        <v>57</v>
      </c>
      <c r="B48" s="79" t="s">
        <v>68</v>
      </c>
      <c r="C48" s="85">
        <v>1786.4210406250002</v>
      </c>
      <c r="D48" s="86" t="e">
        <f>'29febrero'!O9</f>
        <v>#REF!</v>
      </c>
      <c r="E48" s="86"/>
      <c r="F48" s="85" t="e">
        <f t="shared" si="13"/>
        <v>#REF!</v>
      </c>
      <c r="G48" s="75">
        <v>0</v>
      </c>
      <c r="H48" s="85" t="e">
        <f t="shared" si="14"/>
        <v>#REF!</v>
      </c>
      <c r="I48" s="85" t="e">
        <f t="shared" si="15"/>
        <v>#REF!</v>
      </c>
      <c r="J48" s="80" t="e">
        <f t="shared" si="16"/>
        <v>#REF!</v>
      </c>
      <c r="K48" s="80" t="e">
        <f t="shared" si="17"/>
        <v>#REF!</v>
      </c>
      <c r="L48" s="81" t="e">
        <f t="shared" si="18"/>
        <v>#REF!</v>
      </c>
      <c r="M48" s="97" t="e">
        <f t="shared" si="19"/>
        <v>#REF!</v>
      </c>
      <c r="N48" s="97" t="e">
        <f t="shared" si="20"/>
        <v>#REF!</v>
      </c>
      <c r="O48" s="98" t="e">
        <f t="shared" si="21"/>
        <v>#REF!</v>
      </c>
      <c r="P48" s="80" t="e">
        <f t="shared" si="22"/>
        <v>#REF!</v>
      </c>
      <c r="Q48" s="80" t="e">
        <f t="shared" si="23"/>
        <v>#REF!</v>
      </c>
      <c r="R48" s="80" t="e">
        <f t="shared" si="24"/>
        <v>#REF!</v>
      </c>
    </row>
    <row r="49" spans="1:18" ht="15">
      <c r="A49" s="79" t="s">
        <v>57</v>
      </c>
      <c r="B49" s="79" t="s">
        <v>69</v>
      </c>
      <c r="C49" s="85">
        <v>2000.441096875</v>
      </c>
      <c r="D49" s="86" t="e">
        <f>'29febrero'!O10</f>
        <v>#REF!</v>
      </c>
      <c r="E49" s="86"/>
      <c r="F49" s="85" t="e">
        <f t="shared" si="13"/>
        <v>#REF!</v>
      </c>
      <c r="G49" s="75">
        <v>0</v>
      </c>
      <c r="H49" s="85" t="e">
        <f t="shared" si="14"/>
        <v>#REF!</v>
      </c>
      <c r="I49" s="85" t="e">
        <f t="shared" si="15"/>
        <v>#REF!</v>
      </c>
      <c r="J49" s="80" t="e">
        <f t="shared" si="16"/>
        <v>#REF!</v>
      </c>
      <c r="K49" s="80" t="e">
        <f t="shared" si="17"/>
        <v>#REF!</v>
      </c>
      <c r="L49" s="81" t="e">
        <f t="shared" si="18"/>
        <v>#REF!</v>
      </c>
      <c r="M49" s="97" t="e">
        <f t="shared" si="19"/>
        <v>#REF!</v>
      </c>
      <c r="N49" s="97" t="e">
        <f t="shared" si="20"/>
        <v>#REF!</v>
      </c>
      <c r="O49" s="98" t="e">
        <f t="shared" si="21"/>
        <v>#REF!</v>
      </c>
      <c r="P49" s="80" t="e">
        <f t="shared" si="22"/>
        <v>#REF!</v>
      </c>
      <c r="Q49" s="80" t="e">
        <f t="shared" si="23"/>
        <v>#REF!</v>
      </c>
      <c r="R49" s="80" t="e">
        <f t="shared" si="24"/>
        <v>#REF!</v>
      </c>
    </row>
    <row r="50" spans="1:18" ht="15">
      <c r="A50" s="79" t="s">
        <v>57</v>
      </c>
      <c r="B50" s="79" t="s">
        <v>84</v>
      </c>
      <c r="C50" s="85">
        <v>1175.64175</v>
      </c>
      <c r="D50" s="86" t="e">
        <f>'29febrero'!O11</f>
        <v>#REF!</v>
      </c>
      <c r="E50" s="86"/>
      <c r="F50" s="85" t="e">
        <f t="shared" si="13"/>
        <v>#REF!</v>
      </c>
      <c r="G50" s="75">
        <v>0</v>
      </c>
      <c r="H50" s="85" t="e">
        <f t="shared" si="14"/>
        <v>#REF!</v>
      </c>
      <c r="I50" s="85" t="e">
        <f t="shared" si="15"/>
        <v>#REF!</v>
      </c>
      <c r="J50" s="80" t="e">
        <f t="shared" si="16"/>
        <v>#REF!</v>
      </c>
      <c r="K50" s="80" t="e">
        <f t="shared" si="17"/>
        <v>#REF!</v>
      </c>
      <c r="L50" s="81" t="e">
        <f t="shared" si="18"/>
        <v>#REF!</v>
      </c>
      <c r="M50" s="97" t="e">
        <f t="shared" si="19"/>
        <v>#REF!</v>
      </c>
      <c r="N50" s="97" t="e">
        <f t="shared" si="20"/>
        <v>#REF!</v>
      </c>
      <c r="O50" s="98" t="e">
        <f t="shared" si="21"/>
        <v>#REF!</v>
      </c>
      <c r="P50" s="80" t="e">
        <f t="shared" si="22"/>
        <v>#REF!</v>
      </c>
      <c r="Q50" s="80" t="e">
        <f t="shared" si="23"/>
        <v>#REF!</v>
      </c>
      <c r="R50" s="80" t="e">
        <f t="shared" si="24"/>
        <v>#REF!</v>
      </c>
    </row>
    <row r="51" spans="1:18" ht="15">
      <c r="A51" s="79" t="s">
        <v>57</v>
      </c>
      <c r="B51" s="79" t="s">
        <v>92</v>
      </c>
      <c r="C51" s="85">
        <v>1819.8640000000003</v>
      </c>
      <c r="D51" s="86" t="e">
        <f>'29febrero'!O12</f>
        <v>#REF!</v>
      </c>
      <c r="E51" s="86"/>
      <c r="F51" s="85" t="e">
        <f t="shared" si="13"/>
        <v>#REF!</v>
      </c>
      <c r="G51" s="75">
        <v>0</v>
      </c>
      <c r="H51" s="85" t="e">
        <f t="shared" si="14"/>
        <v>#REF!</v>
      </c>
      <c r="I51" s="85" t="e">
        <f t="shared" si="15"/>
        <v>#REF!</v>
      </c>
      <c r="J51" s="80" t="e">
        <f t="shared" si="16"/>
        <v>#REF!</v>
      </c>
      <c r="K51" s="80" t="e">
        <f t="shared" si="17"/>
        <v>#REF!</v>
      </c>
      <c r="L51" s="81" t="e">
        <f t="shared" si="18"/>
        <v>#REF!</v>
      </c>
      <c r="M51" s="97" t="e">
        <f t="shared" si="19"/>
        <v>#REF!</v>
      </c>
      <c r="N51" s="97" t="e">
        <f t="shared" si="20"/>
        <v>#REF!</v>
      </c>
      <c r="O51" s="98" t="e">
        <f t="shared" si="21"/>
        <v>#REF!</v>
      </c>
      <c r="P51" s="80" t="e">
        <f t="shared" si="22"/>
        <v>#REF!</v>
      </c>
      <c r="Q51" s="80" t="e">
        <f t="shared" si="23"/>
        <v>#REF!</v>
      </c>
      <c r="R51" s="80" t="e">
        <f t="shared" si="24"/>
        <v>#REF!</v>
      </c>
    </row>
    <row r="52" spans="1:18" ht="15">
      <c r="A52" s="79" t="s">
        <v>57</v>
      </c>
      <c r="B52" s="79" t="s">
        <v>87</v>
      </c>
      <c r="C52" s="85">
        <v>1963.51375</v>
      </c>
      <c r="D52" s="86" t="e">
        <f>'29febrero'!O13</f>
        <v>#REF!</v>
      </c>
      <c r="E52" s="86"/>
      <c r="F52" s="85" t="e">
        <f t="shared" si="13"/>
        <v>#REF!</v>
      </c>
      <c r="G52" s="75">
        <v>0</v>
      </c>
      <c r="H52" s="85" t="e">
        <f t="shared" si="14"/>
        <v>#REF!</v>
      </c>
      <c r="I52" s="85" t="e">
        <f t="shared" si="15"/>
        <v>#REF!</v>
      </c>
      <c r="J52" s="80" t="e">
        <f t="shared" si="16"/>
        <v>#REF!</v>
      </c>
      <c r="K52" s="80" t="e">
        <f t="shared" si="17"/>
        <v>#REF!</v>
      </c>
      <c r="L52" s="81" t="e">
        <f t="shared" si="18"/>
        <v>#REF!</v>
      </c>
      <c r="M52" s="97" t="e">
        <f t="shared" si="19"/>
        <v>#REF!</v>
      </c>
      <c r="N52" s="97" t="e">
        <f t="shared" si="20"/>
        <v>#REF!</v>
      </c>
      <c r="O52" s="98" t="e">
        <f t="shared" si="21"/>
        <v>#REF!</v>
      </c>
      <c r="P52" s="80" t="e">
        <f t="shared" si="22"/>
        <v>#REF!</v>
      </c>
      <c r="Q52" s="80" t="e">
        <f t="shared" si="23"/>
        <v>#REF!</v>
      </c>
      <c r="R52" s="80" t="e">
        <f t="shared" si="24"/>
        <v>#REF!</v>
      </c>
    </row>
    <row r="53" spans="1:17" ht="15">
      <c r="A53" s="79"/>
      <c r="B53" s="79"/>
      <c r="C53" s="85"/>
      <c r="D53" s="86"/>
      <c r="E53" s="86"/>
      <c r="F53" s="75"/>
      <c r="G53" s="75"/>
      <c r="H53" s="75"/>
      <c r="I53" s="75"/>
      <c r="J53" s="84"/>
      <c r="K53" s="75"/>
      <c r="L53" s="75"/>
      <c r="M53" s="75"/>
      <c r="N53" s="75"/>
      <c r="O53" s="75"/>
      <c r="P53" s="75"/>
      <c r="Q53" s="53"/>
    </row>
    <row r="54" spans="1:17" ht="15">
      <c r="A54" s="79"/>
      <c r="B54" s="79"/>
      <c r="C54" s="85"/>
      <c r="D54" s="86"/>
      <c r="E54" s="86"/>
      <c r="F54" s="75"/>
      <c r="G54" s="75"/>
      <c r="H54" s="75"/>
      <c r="I54" s="75"/>
      <c r="J54" s="84"/>
      <c r="K54" s="75"/>
      <c r="L54" s="75"/>
      <c r="M54" s="75"/>
      <c r="N54" s="75"/>
      <c r="O54" s="75"/>
      <c r="P54" s="75"/>
      <c r="Q54" s="53"/>
    </row>
    <row r="55" spans="1:17" ht="15">
      <c r="A55" s="79"/>
      <c r="B55" s="79"/>
      <c r="C55" s="85"/>
      <c r="D55" s="86"/>
      <c r="E55" s="86"/>
      <c r="F55" s="75"/>
      <c r="G55" s="75"/>
      <c r="H55" s="75"/>
      <c r="I55" s="75"/>
      <c r="J55" s="84"/>
      <c r="K55" s="75"/>
      <c r="L55" s="75"/>
      <c r="M55" s="75"/>
      <c r="N55" s="75"/>
      <c r="O55" s="75"/>
      <c r="P55" s="75"/>
      <c r="Q55" s="53"/>
    </row>
    <row r="56" spans="1:17" ht="15">
      <c r="A56" s="79"/>
      <c r="B56" s="79"/>
      <c r="C56" s="85"/>
      <c r="D56" s="86"/>
      <c r="E56" s="86"/>
      <c r="F56" s="75"/>
      <c r="G56" s="75"/>
      <c r="H56" s="75"/>
      <c r="I56" s="75"/>
      <c r="J56" s="84"/>
      <c r="K56" s="75"/>
      <c r="L56" s="75"/>
      <c r="M56" s="75"/>
      <c r="N56" s="75"/>
      <c r="O56" s="75"/>
      <c r="P56" s="75"/>
      <c r="Q56" s="53"/>
    </row>
    <row r="57" spans="1:17" ht="15">
      <c r="A57" s="79"/>
      <c r="B57" s="79"/>
      <c r="C57" s="85"/>
      <c r="D57" s="86"/>
      <c r="E57" s="86"/>
      <c r="F57" s="75"/>
      <c r="G57" s="75"/>
      <c r="H57" s="75"/>
      <c r="I57" s="75"/>
      <c r="J57" s="84"/>
      <c r="K57" s="75"/>
      <c r="L57" s="75"/>
      <c r="M57" s="75"/>
      <c r="N57" s="75"/>
      <c r="O57" s="75"/>
      <c r="P57" s="75"/>
      <c r="Q57" s="53"/>
    </row>
    <row r="58" spans="1:17" ht="15">
      <c r="A58" s="79"/>
      <c r="B58" s="79"/>
      <c r="C58" s="85"/>
      <c r="D58" s="86"/>
      <c r="E58" s="86"/>
      <c r="F58" s="75"/>
      <c r="G58" s="75"/>
      <c r="H58" s="75"/>
      <c r="I58" s="75"/>
      <c r="J58" s="84"/>
      <c r="K58" s="75"/>
      <c r="L58" s="75"/>
      <c r="M58" s="75"/>
      <c r="N58" s="75"/>
      <c r="O58" s="75"/>
      <c r="P58" s="75"/>
      <c r="Q58" s="53"/>
    </row>
    <row r="59" spans="1:17" ht="15">
      <c r="A59" s="79"/>
      <c r="B59" s="79"/>
      <c r="C59" s="85"/>
      <c r="D59" s="86"/>
      <c r="E59" s="86"/>
      <c r="F59" s="75"/>
      <c r="G59" s="75"/>
      <c r="H59" s="75"/>
      <c r="I59" s="75"/>
      <c r="J59" s="84"/>
      <c r="K59" s="75"/>
      <c r="L59" s="75"/>
      <c r="M59" s="75"/>
      <c r="N59" s="75"/>
      <c r="O59" s="75"/>
      <c r="P59" s="75"/>
      <c r="Q59" s="53"/>
    </row>
    <row r="60" spans="1:17" ht="15">
      <c r="A60" s="79"/>
      <c r="B60" s="79"/>
      <c r="C60" s="85"/>
      <c r="D60" s="86"/>
      <c r="E60" s="86"/>
      <c r="F60" s="75"/>
      <c r="G60" s="75"/>
      <c r="H60" s="75"/>
      <c r="I60" s="75"/>
      <c r="J60" s="84"/>
      <c r="K60" s="75"/>
      <c r="L60" s="75"/>
      <c r="M60" s="75"/>
      <c r="N60" s="75"/>
      <c r="O60" s="75"/>
      <c r="P60" s="75"/>
      <c r="Q60" s="53"/>
    </row>
    <row r="61" spans="1:17" ht="15">
      <c r="A61" s="79"/>
      <c r="B61" s="79"/>
      <c r="C61" s="85"/>
      <c r="D61" s="86"/>
      <c r="E61" s="86"/>
      <c r="F61" s="75"/>
      <c r="G61" s="75"/>
      <c r="H61" s="75"/>
      <c r="I61" s="75"/>
      <c r="J61" s="84"/>
      <c r="K61" s="75"/>
      <c r="L61" s="75"/>
      <c r="M61" s="75"/>
      <c r="N61" s="75"/>
      <c r="O61" s="75"/>
      <c r="P61" s="75"/>
      <c r="Q61" s="53"/>
    </row>
    <row r="62" spans="1:17" ht="15">
      <c r="A62" s="79"/>
      <c r="B62" s="79"/>
      <c r="C62" s="85"/>
      <c r="D62" s="86"/>
      <c r="E62" s="86"/>
      <c r="F62" s="75"/>
      <c r="G62" s="75"/>
      <c r="H62" s="75"/>
      <c r="I62" s="75"/>
      <c r="J62" s="84"/>
      <c r="K62" s="75"/>
      <c r="L62" s="75"/>
      <c r="M62" s="75"/>
      <c r="N62" s="75"/>
      <c r="O62" s="75"/>
      <c r="P62" s="75"/>
      <c r="Q62" s="53"/>
    </row>
    <row r="63" spans="1:17" ht="15">
      <c r="A63" s="79"/>
      <c r="B63" s="79"/>
      <c r="C63" s="85"/>
      <c r="D63" s="86"/>
      <c r="E63" s="86"/>
      <c r="F63" s="75"/>
      <c r="G63" s="75"/>
      <c r="H63" s="75"/>
      <c r="I63" s="75"/>
      <c r="J63" s="84"/>
      <c r="K63" s="75"/>
      <c r="L63" s="75"/>
      <c r="M63" s="75"/>
      <c r="N63" s="75"/>
      <c r="O63" s="75"/>
      <c r="P63" s="75"/>
      <c r="Q63" s="53"/>
    </row>
    <row r="64" spans="1:17" ht="15">
      <c r="A64" s="79"/>
      <c r="B64" s="79"/>
      <c r="C64" s="85"/>
      <c r="D64" s="86"/>
      <c r="E64" s="86"/>
      <c r="F64" s="75"/>
      <c r="G64" s="75"/>
      <c r="H64" s="75"/>
      <c r="I64" s="75"/>
      <c r="J64" s="84"/>
      <c r="K64" s="75"/>
      <c r="L64" s="75"/>
      <c r="M64" s="75"/>
      <c r="N64" s="75"/>
      <c r="O64" s="75"/>
      <c r="P64" s="75"/>
      <c r="Q64" s="53"/>
    </row>
    <row r="65" spans="1:17" ht="15">
      <c r="A65" s="79"/>
      <c r="B65" s="79"/>
      <c r="C65" s="75"/>
      <c r="D65" s="75"/>
      <c r="E65" s="75"/>
      <c r="F65" s="75"/>
      <c r="G65" s="75"/>
      <c r="H65" s="75"/>
      <c r="I65" s="75"/>
      <c r="J65" s="84"/>
      <c r="K65" s="75"/>
      <c r="L65" s="75"/>
      <c r="M65" s="75"/>
      <c r="N65" s="75"/>
      <c r="O65" s="75"/>
      <c r="P65" s="75"/>
      <c r="Q65" s="53"/>
    </row>
    <row r="66" spans="1:17" ht="15">
      <c r="A66" s="79"/>
      <c r="B66" s="79"/>
      <c r="C66" s="75"/>
      <c r="D66" s="75"/>
      <c r="E66" s="75"/>
      <c r="F66" s="75"/>
      <c r="G66" s="75"/>
      <c r="H66" s="75"/>
      <c r="I66" s="75"/>
      <c r="J66" s="84"/>
      <c r="K66" s="75"/>
      <c r="L66" s="75"/>
      <c r="M66" s="75"/>
      <c r="N66" s="75"/>
      <c r="O66" s="75"/>
      <c r="P66" s="75"/>
      <c r="Q66" s="53"/>
    </row>
    <row r="67" spans="1:17" ht="15">
      <c r="A67" s="79"/>
      <c r="B67" s="79"/>
      <c r="C67" s="85"/>
      <c r="D67" s="86"/>
      <c r="E67" s="86"/>
      <c r="F67" s="75"/>
      <c r="G67" s="75"/>
      <c r="H67" s="75"/>
      <c r="I67" s="75"/>
      <c r="J67" s="84"/>
      <c r="K67" s="75"/>
      <c r="L67" s="75"/>
      <c r="M67" s="75"/>
      <c r="N67" s="75"/>
      <c r="O67" s="75"/>
      <c r="P67" s="75"/>
      <c r="Q67" s="53"/>
    </row>
    <row r="68" spans="1:17" ht="15">
      <c r="A68" s="79"/>
      <c r="B68" s="79"/>
      <c r="C68" s="85"/>
      <c r="D68" s="86"/>
      <c r="E68" s="86"/>
      <c r="F68" s="75"/>
      <c r="G68" s="75"/>
      <c r="H68" s="75"/>
      <c r="I68" s="75"/>
      <c r="J68" s="84"/>
      <c r="K68" s="75"/>
      <c r="L68" s="75"/>
      <c r="M68" s="75"/>
      <c r="N68" s="75"/>
      <c r="O68" s="75"/>
      <c r="P68" s="75"/>
      <c r="Q68" s="53"/>
    </row>
    <row r="69" spans="1:17" ht="15">
      <c r="A69" s="79"/>
      <c r="B69" s="79"/>
      <c r="C69" s="85"/>
      <c r="D69" s="86"/>
      <c r="E69" s="86"/>
      <c r="F69" s="75"/>
      <c r="G69" s="75"/>
      <c r="H69" s="75"/>
      <c r="I69" s="75"/>
      <c r="J69" s="84"/>
      <c r="K69" s="75"/>
      <c r="L69" s="75"/>
      <c r="M69" s="75"/>
      <c r="N69" s="75"/>
      <c r="O69" s="75"/>
      <c r="P69" s="75"/>
      <c r="Q69" s="53"/>
    </row>
    <row r="70" spans="1:17" ht="15">
      <c r="A70" s="79"/>
      <c r="B70" s="79"/>
      <c r="C70" s="85"/>
      <c r="D70" s="86"/>
      <c r="E70" s="86"/>
      <c r="F70" s="75"/>
      <c r="G70" s="75"/>
      <c r="H70" s="75"/>
      <c r="I70" s="75"/>
      <c r="J70" s="84"/>
      <c r="K70" s="75"/>
      <c r="L70" s="75"/>
      <c r="M70" s="75"/>
      <c r="N70" s="75"/>
      <c r="O70" s="75"/>
      <c r="P70" s="75"/>
      <c r="Q70" s="53"/>
    </row>
    <row r="71" spans="3:17" ht="15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3:17" ht="15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3:17" ht="1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3:17" ht="1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3:17" ht="15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3:17" ht="15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3:17" ht="15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3:17" ht="1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3:17" ht="1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3:17" ht="1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3:17" ht="1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3:17" ht="1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3:17" ht="1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3:17" ht="1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</sheetData>
  <sheetProtection/>
  <mergeCells count="7">
    <mergeCell ref="I15:N15"/>
    <mergeCell ref="I16:J16"/>
    <mergeCell ref="K16:L16"/>
    <mergeCell ref="M16:N16"/>
    <mergeCell ref="I17:J17"/>
    <mergeCell ref="K17:L17"/>
    <mergeCell ref="M17:N1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86"/>
  <sheetViews>
    <sheetView zoomScalePageLayoutView="0" workbookViewId="0" topLeftCell="G37">
      <selection activeCell="L47" sqref="L47"/>
    </sheetView>
  </sheetViews>
  <sheetFormatPr defaultColWidth="11.421875" defaultRowHeight="15"/>
  <cols>
    <col min="1" max="1" width="8.00390625" style="0" bestFit="1" customWidth="1"/>
    <col min="2" max="2" width="29.421875" style="0" bestFit="1" customWidth="1"/>
    <col min="4" max="4" width="12.57421875" style="0" customWidth="1"/>
  </cols>
  <sheetData>
    <row r="1" spans="2:8" ht="15">
      <c r="B1" t="s">
        <v>90</v>
      </c>
      <c r="H1" t="s">
        <v>123</v>
      </c>
    </row>
    <row r="2" spans="2:13" ht="15.75" thickBot="1">
      <c r="B2" t="s">
        <v>98</v>
      </c>
      <c r="D2" s="53"/>
      <c r="H2" s="89" t="s">
        <v>124</v>
      </c>
      <c r="I2" s="90"/>
      <c r="J2" s="90"/>
      <c r="K2" s="90"/>
      <c r="L2" s="90"/>
      <c r="M2" s="90"/>
    </row>
    <row r="3" spans="2:13" ht="46.5" thickBot="1" thickTop="1">
      <c r="B3" s="71" t="s">
        <v>99</v>
      </c>
      <c r="C3" s="71" t="s">
        <v>100</v>
      </c>
      <c r="D3" s="71" t="s">
        <v>101</v>
      </c>
      <c r="E3" s="72" t="s">
        <v>102</v>
      </c>
      <c r="H3" s="110" t="s">
        <v>125</v>
      </c>
      <c r="I3" s="110" t="s">
        <v>126</v>
      </c>
      <c r="J3" s="110" t="s">
        <v>127</v>
      </c>
      <c r="K3" s="110" t="s">
        <v>128</v>
      </c>
      <c r="L3" s="90"/>
      <c r="M3" s="90"/>
    </row>
    <row r="4" spans="2:13" ht="34.5" thickTop="1">
      <c r="B4" s="73">
        <v>0.01</v>
      </c>
      <c r="C4" s="73">
        <f>B5-0.01</f>
        <v>496.07</v>
      </c>
      <c r="D4" s="73">
        <f>O4</f>
        <v>0</v>
      </c>
      <c r="E4" s="74">
        <v>0.0192</v>
      </c>
      <c r="H4" s="110"/>
      <c r="I4" s="110"/>
      <c r="J4" s="110"/>
      <c r="K4" s="110" t="s">
        <v>129</v>
      </c>
      <c r="L4" s="90"/>
      <c r="M4" s="90"/>
    </row>
    <row r="5" spans="2:13" ht="15">
      <c r="B5" s="73">
        <v>496.08</v>
      </c>
      <c r="C5" s="73">
        <f>B6-0.01</f>
        <v>4210.41</v>
      </c>
      <c r="D5" s="73">
        <v>9.52</v>
      </c>
      <c r="E5" s="74">
        <v>0.064</v>
      </c>
      <c r="H5" s="110" t="s">
        <v>130</v>
      </c>
      <c r="I5" s="110" t="s">
        <v>130</v>
      </c>
      <c r="J5" s="110" t="s">
        <v>130</v>
      </c>
      <c r="K5" s="110" t="s">
        <v>131</v>
      </c>
      <c r="L5" s="90"/>
      <c r="M5" s="90"/>
    </row>
    <row r="6" spans="2:13" ht="15">
      <c r="B6" s="73">
        <v>4210.42</v>
      </c>
      <c r="C6" s="73">
        <f>B7-0.01</f>
        <v>7399.42</v>
      </c>
      <c r="D6" s="73">
        <v>247.23</v>
      </c>
      <c r="E6" s="74">
        <v>0.1088</v>
      </c>
      <c r="H6" s="110">
        <v>0.01</v>
      </c>
      <c r="I6" s="110">
        <v>244.8</v>
      </c>
      <c r="J6" s="110">
        <v>0</v>
      </c>
      <c r="K6" s="92">
        <v>0.0192</v>
      </c>
      <c r="L6" s="90"/>
      <c r="M6" s="90"/>
    </row>
    <row r="7" spans="2:13" ht="15">
      <c r="B7" s="73">
        <v>7399.43</v>
      </c>
      <c r="C7" s="73">
        <f>B8-0.01</f>
        <v>8601.5</v>
      </c>
      <c r="D7" s="73">
        <v>594.24</v>
      </c>
      <c r="E7" s="74">
        <v>0.16</v>
      </c>
      <c r="H7" s="110">
        <v>244.81</v>
      </c>
      <c r="I7" s="93">
        <v>2077.5</v>
      </c>
      <c r="J7" s="110">
        <v>4.65</v>
      </c>
      <c r="K7" s="92">
        <v>0.064</v>
      </c>
      <c r="L7" s="90"/>
      <c r="M7" s="90"/>
    </row>
    <row r="8" spans="2:13" ht="15">
      <c r="B8" s="73">
        <v>8601.51</v>
      </c>
      <c r="C8" s="73">
        <v>10298.35</v>
      </c>
      <c r="D8" s="73">
        <v>786.55</v>
      </c>
      <c r="E8" s="74">
        <v>0.1792</v>
      </c>
      <c r="H8" s="93">
        <v>2077.51</v>
      </c>
      <c r="I8" s="93">
        <v>3651</v>
      </c>
      <c r="J8" s="110">
        <v>121.95</v>
      </c>
      <c r="K8" s="92">
        <v>0.1088</v>
      </c>
      <c r="L8" s="90"/>
      <c r="M8" s="90"/>
    </row>
    <row r="9" spans="2:13" ht="15">
      <c r="B9" s="73">
        <v>10298.36</v>
      </c>
      <c r="C9" s="73">
        <v>20770.29</v>
      </c>
      <c r="D9" s="73">
        <v>1090.62</v>
      </c>
      <c r="E9" s="74">
        <v>0.2136</v>
      </c>
      <c r="H9" s="93">
        <v>3651.01</v>
      </c>
      <c r="I9" s="93">
        <v>4244.1</v>
      </c>
      <c r="J9" s="110">
        <v>293.25</v>
      </c>
      <c r="K9" s="94">
        <v>0.16</v>
      </c>
      <c r="L9" s="90"/>
      <c r="M9" s="90"/>
    </row>
    <row r="10" spans="2:13" ht="15">
      <c r="B10" s="73">
        <v>20770.3</v>
      </c>
      <c r="C10" s="73">
        <v>32736.83</v>
      </c>
      <c r="D10" s="73">
        <v>3327.42</v>
      </c>
      <c r="E10" s="74">
        <v>0.2352</v>
      </c>
      <c r="H10" s="93">
        <v>4244.11</v>
      </c>
      <c r="I10" s="93">
        <v>5081.4</v>
      </c>
      <c r="J10" s="110">
        <v>388.05</v>
      </c>
      <c r="K10" s="92">
        <v>0.1792</v>
      </c>
      <c r="L10" s="90"/>
      <c r="M10" s="90"/>
    </row>
    <row r="11" spans="2:13" ht="15">
      <c r="B11" s="73">
        <v>32736.84</v>
      </c>
      <c r="C11" s="73" t="s">
        <v>103</v>
      </c>
      <c r="D11" s="73">
        <v>6141.95</v>
      </c>
      <c r="E11" s="74">
        <v>0.3</v>
      </c>
      <c r="H11" s="93">
        <v>5081.41</v>
      </c>
      <c r="I11" s="93">
        <v>10248.45</v>
      </c>
      <c r="J11" s="110">
        <v>538.2</v>
      </c>
      <c r="K11" s="92">
        <v>0.2136</v>
      </c>
      <c r="L11" s="90"/>
      <c r="M11" s="90"/>
    </row>
    <row r="12" spans="3:13" ht="15">
      <c r="C12" s="75"/>
      <c r="D12" s="75"/>
      <c r="E12" s="75"/>
      <c r="F12" s="76"/>
      <c r="H12" s="93">
        <v>10248.46</v>
      </c>
      <c r="I12" s="93">
        <v>16153.05</v>
      </c>
      <c r="J12" s="93">
        <v>1641.75</v>
      </c>
      <c r="K12" s="92">
        <v>0.2352</v>
      </c>
      <c r="L12" s="90"/>
      <c r="M12" s="90"/>
    </row>
    <row r="13" spans="3:13" ht="15">
      <c r="C13" s="75"/>
      <c r="D13" s="75"/>
      <c r="E13" s="75"/>
      <c r="F13" s="76"/>
      <c r="H13" s="93">
        <v>16153.06</v>
      </c>
      <c r="I13" s="110" t="s">
        <v>103</v>
      </c>
      <c r="J13" s="93">
        <v>3030.6</v>
      </c>
      <c r="K13" s="94">
        <v>0.3</v>
      </c>
      <c r="L13" s="90"/>
      <c r="M13" s="90"/>
    </row>
    <row r="14" spans="3:13" ht="15">
      <c r="C14" s="75"/>
      <c r="D14" s="75"/>
      <c r="E14" s="75"/>
      <c r="F14" s="76"/>
      <c r="H14" s="89" t="s">
        <v>132</v>
      </c>
      <c r="I14" s="90"/>
      <c r="J14" s="90"/>
      <c r="K14" s="90"/>
      <c r="L14" s="90"/>
      <c r="M14" s="90"/>
    </row>
    <row r="15" spans="3:13" ht="15">
      <c r="C15" s="75"/>
      <c r="D15" s="75"/>
      <c r="E15" s="75"/>
      <c r="F15" s="76"/>
      <c r="H15" s="330" t="s">
        <v>133</v>
      </c>
      <c r="I15" s="330"/>
      <c r="J15" s="330"/>
      <c r="K15" s="330"/>
      <c r="L15" s="330"/>
      <c r="M15" s="330"/>
    </row>
    <row r="16" spans="2:13" ht="15.75" thickBot="1">
      <c r="B16" s="23" t="s">
        <v>104</v>
      </c>
      <c r="C16" s="23"/>
      <c r="D16" s="23"/>
      <c r="H16" s="330" t="s">
        <v>134</v>
      </c>
      <c r="I16" s="330"/>
      <c r="J16" s="330" t="s">
        <v>135</v>
      </c>
      <c r="K16" s="330"/>
      <c r="L16" s="330" t="s">
        <v>136</v>
      </c>
      <c r="M16" s="330"/>
    </row>
    <row r="17" spans="2:13" ht="24" thickBot="1" thickTop="1">
      <c r="B17" s="71" t="s">
        <v>99</v>
      </c>
      <c r="C17" s="71" t="s">
        <v>100</v>
      </c>
      <c r="D17" s="72" t="s">
        <v>105</v>
      </c>
      <c r="H17" s="330" t="s">
        <v>130</v>
      </c>
      <c r="I17" s="330"/>
      <c r="J17" s="330" t="s">
        <v>130</v>
      </c>
      <c r="K17" s="330"/>
      <c r="L17" s="330" t="s">
        <v>130</v>
      </c>
      <c r="M17" s="330"/>
    </row>
    <row r="18" spans="2:13" ht="15.75" thickTop="1">
      <c r="B18" s="73">
        <v>0.01</v>
      </c>
      <c r="C18" s="73">
        <f aca="true" t="shared" si="0" ref="C18:C27">B19-0.01</f>
        <v>1768.96</v>
      </c>
      <c r="D18" s="73">
        <v>407.02</v>
      </c>
      <c r="I18" s="110">
        <v>0.01</v>
      </c>
      <c r="J18" s="110">
        <v>872.85</v>
      </c>
      <c r="K18" s="110">
        <v>200.85</v>
      </c>
      <c r="M18" s="110"/>
    </row>
    <row r="19" spans="2:13" ht="15">
      <c r="B19" s="73">
        <v>1768.97</v>
      </c>
      <c r="C19" s="73">
        <f t="shared" si="0"/>
        <v>2653.3799999999997</v>
      </c>
      <c r="D19" s="73">
        <v>406.83</v>
      </c>
      <c r="I19" s="110">
        <v>872.86</v>
      </c>
      <c r="J19" s="93">
        <v>1309.2</v>
      </c>
      <c r="K19" s="110">
        <v>200.7</v>
      </c>
      <c r="M19" s="110"/>
    </row>
    <row r="20" spans="2:13" ht="15">
      <c r="B20" s="73">
        <v>2653.39</v>
      </c>
      <c r="C20" s="73">
        <f t="shared" si="0"/>
        <v>3472.8399999999997</v>
      </c>
      <c r="D20" s="73">
        <v>406.62</v>
      </c>
      <c r="I20" s="93">
        <v>1309.21</v>
      </c>
      <c r="J20" s="93">
        <v>1713.6</v>
      </c>
      <c r="K20" s="110">
        <v>200.7</v>
      </c>
      <c r="M20" s="110"/>
    </row>
    <row r="21" spans="2:13" ht="15">
      <c r="B21" s="73">
        <v>3472.85</v>
      </c>
      <c r="C21" s="73">
        <f t="shared" si="0"/>
        <v>3537.87</v>
      </c>
      <c r="D21" s="73">
        <v>392.77</v>
      </c>
      <c r="I21" s="93">
        <v>1713.61</v>
      </c>
      <c r="J21" s="93">
        <v>1745.7</v>
      </c>
      <c r="K21" s="110">
        <v>193.8</v>
      </c>
      <c r="M21" s="110"/>
    </row>
    <row r="22" spans="2:13" ht="15">
      <c r="B22" s="73">
        <v>3537.88</v>
      </c>
      <c r="C22" s="73">
        <f t="shared" si="0"/>
        <v>4446.15</v>
      </c>
      <c r="D22" s="73">
        <v>382.46</v>
      </c>
      <c r="I22" s="93">
        <v>1745.71</v>
      </c>
      <c r="J22" s="93">
        <v>2193.75</v>
      </c>
      <c r="K22" s="110">
        <v>188.7</v>
      </c>
      <c r="M22" s="110"/>
    </row>
    <row r="23" spans="2:13" ht="15">
      <c r="B23" s="73">
        <v>4446.16</v>
      </c>
      <c r="C23" s="73">
        <f t="shared" si="0"/>
        <v>4717.179999999999</v>
      </c>
      <c r="D23" s="73">
        <v>354.23</v>
      </c>
      <c r="I23" s="93">
        <v>2193.76</v>
      </c>
      <c r="J23" s="93">
        <v>2327.55</v>
      </c>
      <c r="K23" s="110">
        <v>174.75</v>
      </c>
      <c r="M23" s="110"/>
    </row>
    <row r="24" spans="2:13" ht="15">
      <c r="B24" s="73">
        <v>4717.19</v>
      </c>
      <c r="C24" s="73">
        <f t="shared" si="0"/>
        <v>5335.42</v>
      </c>
      <c r="D24" s="73">
        <v>324.87</v>
      </c>
      <c r="I24" s="93">
        <v>2327.56</v>
      </c>
      <c r="J24" s="93">
        <v>2632.65</v>
      </c>
      <c r="K24" s="110">
        <v>160.35</v>
      </c>
      <c r="M24" s="110"/>
    </row>
    <row r="25" spans="2:13" ht="15">
      <c r="B25" s="73">
        <v>5335.43</v>
      </c>
      <c r="C25" s="73">
        <f t="shared" si="0"/>
        <v>6224.67</v>
      </c>
      <c r="D25" s="73">
        <v>294.63</v>
      </c>
      <c r="I25" s="93">
        <v>2632.66</v>
      </c>
      <c r="J25" s="93">
        <v>3071.4</v>
      </c>
      <c r="K25" s="110">
        <v>145.35</v>
      </c>
      <c r="M25" s="110"/>
    </row>
    <row r="26" spans="2:13" ht="15">
      <c r="B26" s="73">
        <v>6224.68</v>
      </c>
      <c r="C26" s="73">
        <f t="shared" si="0"/>
        <v>7113.9</v>
      </c>
      <c r="D26" s="73">
        <v>253.54</v>
      </c>
      <c r="I26" s="93">
        <v>3071.41</v>
      </c>
      <c r="J26" s="93">
        <v>3510.15</v>
      </c>
      <c r="K26" s="110">
        <v>125.1</v>
      </c>
      <c r="M26" s="110"/>
    </row>
    <row r="27" spans="2:13" ht="15">
      <c r="B27" s="73">
        <v>7113.91</v>
      </c>
      <c r="C27" s="73">
        <f t="shared" si="0"/>
        <v>7382.33</v>
      </c>
      <c r="D27" s="73">
        <v>217.61</v>
      </c>
      <c r="I27" s="93">
        <v>3510.16</v>
      </c>
      <c r="J27" s="93">
        <v>3642.6</v>
      </c>
      <c r="K27" s="110">
        <v>107.4</v>
      </c>
      <c r="M27" s="110"/>
    </row>
    <row r="28" spans="2:13" ht="15">
      <c r="B28" s="73">
        <v>7382.34</v>
      </c>
      <c r="C28" s="73" t="s">
        <v>103</v>
      </c>
      <c r="D28" s="73">
        <v>0</v>
      </c>
      <c r="I28" s="93">
        <v>3642.61</v>
      </c>
      <c r="J28" s="110" t="s">
        <v>103</v>
      </c>
      <c r="K28" s="110">
        <v>0</v>
      </c>
      <c r="M28" s="90"/>
    </row>
    <row r="29" ht="15">
      <c r="E29" s="53"/>
    </row>
    <row r="30" ht="15">
      <c r="E30" s="53"/>
    </row>
    <row r="31" spans="5:8" ht="31.5">
      <c r="E31" s="53"/>
      <c r="F31" s="96" t="s">
        <v>123</v>
      </c>
      <c r="H31" s="53"/>
    </row>
    <row r="32" spans="1:17" ht="71.25" customHeight="1">
      <c r="A32" s="77" t="s">
        <v>106</v>
      </c>
      <c r="B32" s="78" t="s">
        <v>107</v>
      </c>
      <c r="C32" s="78" t="s">
        <v>118</v>
      </c>
      <c r="D32" s="78" t="s">
        <v>119</v>
      </c>
      <c r="E32" s="78" t="s">
        <v>108</v>
      </c>
      <c r="F32" s="78" t="s">
        <v>109</v>
      </c>
      <c r="G32" s="78" t="s">
        <v>110</v>
      </c>
      <c r="H32" s="78" t="s">
        <v>111</v>
      </c>
      <c r="I32" s="78" t="s">
        <v>99</v>
      </c>
      <c r="J32" s="78" t="s">
        <v>112</v>
      </c>
      <c r="K32" s="78" t="s">
        <v>113</v>
      </c>
      <c r="L32" s="78" t="s">
        <v>114</v>
      </c>
      <c r="M32" s="78" t="s">
        <v>101</v>
      </c>
      <c r="N32" s="78" t="s">
        <v>115</v>
      </c>
      <c r="O32" s="78" t="s">
        <v>116</v>
      </c>
      <c r="P32" s="78" t="s">
        <v>115</v>
      </c>
      <c r="Q32" s="78" t="s">
        <v>117</v>
      </c>
    </row>
    <row r="33" spans="1:17" ht="15">
      <c r="A33" s="79" t="s">
        <v>120</v>
      </c>
      <c r="B33" s="79"/>
      <c r="E33" s="80"/>
      <c r="F33" s="40"/>
      <c r="G33" s="23"/>
      <c r="H33" s="23"/>
      <c r="I33" s="23"/>
      <c r="J33" s="23"/>
      <c r="K33" s="81"/>
      <c r="L33" s="82"/>
      <c r="M33" s="82"/>
      <c r="N33" s="83"/>
      <c r="O33" s="23"/>
      <c r="P33" s="23"/>
      <c r="Q33" s="23"/>
    </row>
    <row r="34" spans="1:17" ht="15">
      <c r="A34" s="79" t="str">
        <f>'31 JULIO'!A7</f>
        <v>PENSIL</v>
      </c>
      <c r="B34" s="79" t="str">
        <f>'31 JULIO'!B7</f>
        <v>DANIEL CORTES PEREZ</v>
      </c>
      <c r="C34" s="40" t="e">
        <f>'15 DE OCTUBRE '!O7</f>
        <v>#REF!</v>
      </c>
      <c r="D34" s="40"/>
      <c r="E34" s="80" t="e">
        <f>C34+D34</f>
        <v>#REF!</v>
      </c>
      <c r="F34" s="40">
        <v>0</v>
      </c>
      <c r="G34" s="80" t="e">
        <f>E34-F34</f>
        <v>#REF!</v>
      </c>
      <c r="H34" s="80" t="e">
        <f>G34</f>
        <v>#REF!</v>
      </c>
      <c r="I34" s="80" t="e">
        <f>IF(H34&gt;0,LOOKUP(H34,$H$3:$I$13,$H$3:$H$13),0)</f>
        <v>#REF!</v>
      </c>
      <c r="J34" s="80" t="e">
        <f>H34-I34</f>
        <v>#REF!</v>
      </c>
      <c r="K34" s="81" t="e">
        <f>IF(H34&gt;0,LOOKUP(H34,$H$3:$I$11,$K$3:$K$11),0)</f>
        <v>#REF!</v>
      </c>
      <c r="L34" s="97" t="e">
        <f>J34*K34</f>
        <v>#REF!</v>
      </c>
      <c r="M34" s="97" t="e">
        <f>IF(H34&gt;0,LOOKUP(H34,$H$3:$I$13,$J$3:$J$13),0)</f>
        <v>#REF!</v>
      </c>
      <c r="N34" s="98" t="e">
        <f>M34+L34</f>
        <v>#REF!</v>
      </c>
      <c r="O34" s="80" t="e">
        <f>IF(H34&gt;0,LOOKUP(H34,$I$18:$J$28,$K$18:$K$28),0)</f>
        <v>#REF!</v>
      </c>
      <c r="P34" s="80" t="e">
        <f>IF(N34&gt;O34,N34-O34,0)</f>
        <v>#REF!</v>
      </c>
      <c r="Q34" s="80" t="e">
        <f>IF(N34&lt;O34,N34-O34,0)</f>
        <v>#REF!</v>
      </c>
    </row>
    <row r="35" spans="1:17" ht="15">
      <c r="A35" s="79" t="str">
        <f>'31 JULIO'!A8</f>
        <v>PENSIL</v>
      </c>
      <c r="B35" s="79" t="str">
        <f>'31 JULIO'!B8</f>
        <v>FELIPE PEREZ HERNANDEZ</v>
      </c>
      <c r="C35" s="40" t="e">
        <f>'15 DE OCTUBRE '!O8</f>
        <v>#REF!</v>
      </c>
      <c r="D35" s="40"/>
      <c r="E35" s="80" t="e">
        <f aca="true" t="shared" si="1" ref="E35:E41">C35+D35</f>
        <v>#REF!</v>
      </c>
      <c r="F35" s="40">
        <v>0</v>
      </c>
      <c r="G35" s="80" t="e">
        <f aca="true" t="shared" si="2" ref="G35:G41">E35-F35</f>
        <v>#REF!</v>
      </c>
      <c r="H35" s="80" t="e">
        <f aca="true" t="shared" si="3" ref="H35:H41">G35</f>
        <v>#REF!</v>
      </c>
      <c r="I35" s="80" t="e">
        <f aca="true" t="shared" si="4" ref="I35:I41">IF(H35&gt;0,LOOKUP(H35,$H$3:$I$13,$H$3:$H$13),0)</f>
        <v>#REF!</v>
      </c>
      <c r="J35" s="80" t="e">
        <f aca="true" t="shared" si="5" ref="J35:J41">H35-I35</f>
        <v>#REF!</v>
      </c>
      <c r="K35" s="81" t="e">
        <f aca="true" t="shared" si="6" ref="K35:K41">IF(H35&gt;0,LOOKUP(H35,$H$3:$I$11,$K$3:$K$11),0)</f>
        <v>#REF!</v>
      </c>
      <c r="L35" s="97" t="e">
        <f aca="true" t="shared" si="7" ref="L35:L41">J35*K35</f>
        <v>#REF!</v>
      </c>
      <c r="M35" s="97" t="e">
        <f aca="true" t="shared" si="8" ref="M35:M41">IF(H35&gt;0,LOOKUP(H35,$H$3:$I$13,$J$3:$J$13),0)</f>
        <v>#REF!</v>
      </c>
      <c r="N35" s="98" t="e">
        <f aca="true" t="shared" si="9" ref="N35:N41">M35+L35</f>
        <v>#REF!</v>
      </c>
      <c r="O35" s="80" t="e">
        <f aca="true" t="shared" si="10" ref="O35:O41">IF(H35&gt;0,LOOKUP(H35,$I$18:$J$28,$K$18:$K$28),0)</f>
        <v>#REF!</v>
      </c>
      <c r="P35" s="80" t="e">
        <f aca="true" t="shared" si="11" ref="P35:P41">IF(N35&gt;O35,N35-O35,0)</f>
        <v>#REF!</v>
      </c>
      <c r="Q35" s="80" t="e">
        <f aca="true" t="shared" si="12" ref="Q35:Q41">IF(N35&lt;O35,N35-O35,0)</f>
        <v>#REF!</v>
      </c>
    </row>
    <row r="36" spans="1:17" ht="15">
      <c r="A36" s="79" t="str">
        <f>'31 JULIO'!A9</f>
        <v>PENSIL</v>
      </c>
      <c r="B36" s="79" t="str">
        <f>'31 JULIO'!B9</f>
        <v>JOSE ALBERTO GONZALEZ PEREZ</v>
      </c>
      <c r="C36" s="40" t="e">
        <f>'15 DE OCTUBRE '!O9</f>
        <v>#REF!</v>
      </c>
      <c r="D36" s="40"/>
      <c r="E36" s="80" t="e">
        <f t="shared" si="1"/>
        <v>#REF!</v>
      </c>
      <c r="F36" s="40">
        <v>0</v>
      </c>
      <c r="G36" s="80" t="e">
        <f t="shared" si="2"/>
        <v>#REF!</v>
      </c>
      <c r="H36" s="80" t="e">
        <f t="shared" si="3"/>
        <v>#REF!</v>
      </c>
      <c r="I36" s="80" t="e">
        <f t="shared" si="4"/>
        <v>#REF!</v>
      </c>
      <c r="J36" s="80" t="e">
        <f t="shared" si="5"/>
        <v>#REF!</v>
      </c>
      <c r="K36" s="81" t="e">
        <f t="shared" si="6"/>
        <v>#REF!</v>
      </c>
      <c r="L36" s="97" t="e">
        <f t="shared" si="7"/>
        <v>#REF!</v>
      </c>
      <c r="M36" s="97" t="e">
        <f t="shared" si="8"/>
        <v>#REF!</v>
      </c>
      <c r="N36" s="98" t="e">
        <f t="shared" si="9"/>
        <v>#REF!</v>
      </c>
      <c r="O36" s="80" t="e">
        <f t="shared" si="10"/>
        <v>#REF!</v>
      </c>
      <c r="P36" s="80" t="e">
        <f t="shared" si="11"/>
        <v>#REF!</v>
      </c>
      <c r="Q36" s="80" t="e">
        <f t="shared" si="12"/>
        <v>#REF!</v>
      </c>
    </row>
    <row r="37" spans="1:17" ht="15">
      <c r="A37" s="79" t="str">
        <f>'31 JULIO'!A10</f>
        <v>PENSIL</v>
      </c>
      <c r="B37" s="79" t="str">
        <f>'31 JULIO'!B10</f>
        <v>LUIS MIGUEL LOPEZ ESCOBEDO</v>
      </c>
      <c r="C37" s="40" t="e">
        <f>'15 DE OCTUBRE '!O10</f>
        <v>#REF!</v>
      </c>
      <c r="D37" s="40"/>
      <c r="E37" s="80" t="e">
        <f t="shared" si="1"/>
        <v>#REF!</v>
      </c>
      <c r="F37" s="40">
        <v>0</v>
      </c>
      <c r="G37" s="80" t="e">
        <f t="shared" si="2"/>
        <v>#REF!</v>
      </c>
      <c r="H37" s="80" t="e">
        <f t="shared" si="3"/>
        <v>#REF!</v>
      </c>
      <c r="I37" s="80" t="e">
        <f t="shared" si="4"/>
        <v>#REF!</v>
      </c>
      <c r="J37" s="80" t="e">
        <f t="shared" si="5"/>
        <v>#REF!</v>
      </c>
      <c r="K37" s="81" t="e">
        <f t="shared" si="6"/>
        <v>#REF!</v>
      </c>
      <c r="L37" s="97" t="e">
        <f t="shared" si="7"/>
        <v>#REF!</v>
      </c>
      <c r="M37" s="97" t="e">
        <f t="shared" si="8"/>
        <v>#REF!</v>
      </c>
      <c r="N37" s="98" t="e">
        <f t="shared" si="9"/>
        <v>#REF!</v>
      </c>
      <c r="O37" s="80" t="e">
        <f t="shared" si="10"/>
        <v>#REF!</v>
      </c>
      <c r="P37" s="80" t="e">
        <f t="shared" si="11"/>
        <v>#REF!</v>
      </c>
      <c r="Q37" s="80" t="e">
        <f t="shared" si="12"/>
        <v>#REF!</v>
      </c>
    </row>
    <row r="38" spans="1:17" ht="15">
      <c r="A38" s="79" t="str">
        <f>'31 JULIO'!A11</f>
        <v>PENSIL</v>
      </c>
      <c r="B38" s="79" t="str">
        <f>'31 JULIO'!B11</f>
        <v>JORGE LUIS VELAZQUEZ LOPEZ</v>
      </c>
      <c r="C38" s="40" t="e">
        <f>'15 DE OCTUBRE '!O11</f>
        <v>#REF!</v>
      </c>
      <c r="D38" s="40"/>
      <c r="E38" s="80" t="e">
        <f t="shared" si="1"/>
        <v>#REF!</v>
      </c>
      <c r="F38" s="40">
        <v>0</v>
      </c>
      <c r="G38" s="80" t="e">
        <f t="shared" si="2"/>
        <v>#REF!</v>
      </c>
      <c r="H38" s="80" t="e">
        <f t="shared" si="3"/>
        <v>#REF!</v>
      </c>
      <c r="I38" s="80" t="e">
        <f t="shared" si="4"/>
        <v>#REF!</v>
      </c>
      <c r="J38" s="80" t="e">
        <f t="shared" si="5"/>
        <v>#REF!</v>
      </c>
      <c r="K38" s="81" t="e">
        <f t="shared" si="6"/>
        <v>#REF!</v>
      </c>
      <c r="L38" s="97" t="e">
        <f t="shared" si="7"/>
        <v>#REF!</v>
      </c>
      <c r="M38" s="97" t="e">
        <f t="shared" si="8"/>
        <v>#REF!</v>
      </c>
      <c r="N38" s="98" t="e">
        <f t="shared" si="9"/>
        <v>#REF!</v>
      </c>
      <c r="O38" s="80" t="e">
        <f t="shared" si="10"/>
        <v>#REF!</v>
      </c>
      <c r="P38" s="80" t="e">
        <f t="shared" si="11"/>
        <v>#REF!</v>
      </c>
      <c r="Q38" s="80" t="e">
        <f t="shared" si="12"/>
        <v>#REF!</v>
      </c>
    </row>
    <row r="39" spans="1:17" ht="15">
      <c r="A39" s="79" t="str">
        <f>'31 JULIO'!A12</f>
        <v>PENSIL</v>
      </c>
      <c r="B39" s="79" t="str">
        <f>'31 JULIO'!B12</f>
        <v>LEIBER ARMANDO HERNANDEZ SHILON</v>
      </c>
      <c r="C39" s="40" t="e">
        <f>'15 DE OCTUBRE '!O12</f>
        <v>#REF!</v>
      </c>
      <c r="D39" s="40"/>
      <c r="E39" s="80" t="e">
        <f t="shared" si="1"/>
        <v>#REF!</v>
      </c>
      <c r="F39" s="40">
        <v>0</v>
      </c>
      <c r="G39" s="80" t="e">
        <f t="shared" si="2"/>
        <v>#REF!</v>
      </c>
      <c r="H39" s="80" t="e">
        <f t="shared" si="3"/>
        <v>#REF!</v>
      </c>
      <c r="I39" s="80" t="e">
        <f t="shared" si="4"/>
        <v>#REF!</v>
      </c>
      <c r="J39" s="80" t="e">
        <f t="shared" si="5"/>
        <v>#REF!</v>
      </c>
      <c r="K39" s="81" t="e">
        <f t="shared" si="6"/>
        <v>#REF!</v>
      </c>
      <c r="L39" s="97" t="e">
        <f t="shared" si="7"/>
        <v>#REF!</v>
      </c>
      <c r="M39" s="97" t="e">
        <f t="shared" si="8"/>
        <v>#REF!</v>
      </c>
      <c r="N39" s="98" t="e">
        <f t="shared" si="9"/>
        <v>#REF!</v>
      </c>
      <c r="O39" s="80" t="e">
        <f t="shared" si="10"/>
        <v>#REF!</v>
      </c>
      <c r="P39" s="80" t="e">
        <f t="shared" si="11"/>
        <v>#REF!</v>
      </c>
      <c r="Q39" s="80" t="e">
        <f t="shared" si="12"/>
        <v>#REF!</v>
      </c>
    </row>
    <row r="40" spans="1:17" ht="15">
      <c r="A40" s="79" t="str">
        <f>'31 JULIO'!A13</f>
        <v>PENSIL</v>
      </c>
      <c r="B40" s="79" t="str">
        <f>'31 JULIO'!B13</f>
        <v>CARLOS MAGNO SÁNCHEZ LÓPEZ </v>
      </c>
      <c r="C40" s="40">
        <f>'15 DE OCTUBRE '!O13</f>
        <v>1701.7600000000002</v>
      </c>
      <c r="D40" s="40"/>
      <c r="E40" s="80">
        <f t="shared" si="1"/>
        <v>1701.7600000000002</v>
      </c>
      <c r="F40" s="40">
        <v>0</v>
      </c>
      <c r="G40" s="80">
        <f t="shared" si="2"/>
        <v>1701.7600000000002</v>
      </c>
      <c r="H40" s="80">
        <f t="shared" si="3"/>
        <v>1701.7600000000002</v>
      </c>
      <c r="I40" s="80">
        <f t="shared" si="4"/>
        <v>244.81</v>
      </c>
      <c r="J40" s="80">
        <f t="shared" si="5"/>
        <v>1456.9500000000003</v>
      </c>
      <c r="K40" s="81">
        <f t="shared" si="6"/>
        <v>0.064</v>
      </c>
      <c r="L40" s="97">
        <f t="shared" si="7"/>
        <v>93.24480000000003</v>
      </c>
      <c r="M40" s="97">
        <f t="shared" si="8"/>
        <v>4.65</v>
      </c>
      <c r="N40" s="98">
        <f t="shared" si="9"/>
        <v>97.89480000000003</v>
      </c>
      <c r="O40" s="80">
        <f t="shared" si="10"/>
        <v>200.7</v>
      </c>
      <c r="P40" s="80">
        <f t="shared" si="11"/>
        <v>0</v>
      </c>
      <c r="Q40" s="80">
        <f t="shared" si="12"/>
        <v>-102.80519999999996</v>
      </c>
    </row>
    <row r="41" spans="1:17" ht="15">
      <c r="A41" s="79" t="str">
        <f>'31 JULIO'!A14</f>
        <v>PENSIL</v>
      </c>
      <c r="B41" s="79" t="str">
        <f>'31 JULIO'!B14</f>
        <v>ROSARIO DEL CARMEN SOLIS LOPEZ</v>
      </c>
      <c r="C41" s="40">
        <f>'15 DE OCTUBRE '!O14</f>
        <v>1733.6800000000003</v>
      </c>
      <c r="D41" s="40"/>
      <c r="E41" s="80">
        <f t="shared" si="1"/>
        <v>1733.6800000000003</v>
      </c>
      <c r="F41" s="40">
        <v>0</v>
      </c>
      <c r="G41" s="80">
        <f t="shared" si="2"/>
        <v>1733.6800000000003</v>
      </c>
      <c r="H41" s="80">
        <f t="shared" si="3"/>
        <v>1733.6800000000003</v>
      </c>
      <c r="I41" s="80">
        <f t="shared" si="4"/>
        <v>244.81</v>
      </c>
      <c r="J41" s="80">
        <f t="shared" si="5"/>
        <v>1488.8700000000003</v>
      </c>
      <c r="K41" s="81">
        <f t="shared" si="6"/>
        <v>0.064</v>
      </c>
      <c r="L41" s="97">
        <f t="shared" si="7"/>
        <v>95.28768000000002</v>
      </c>
      <c r="M41" s="97">
        <f t="shared" si="8"/>
        <v>4.65</v>
      </c>
      <c r="N41" s="98">
        <f t="shared" si="9"/>
        <v>99.93768000000003</v>
      </c>
      <c r="O41" s="80">
        <f t="shared" si="10"/>
        <v>193.8</v>
      </c>
      <c r="P41" s="80">
        <f t="shared" si="11"/>
        <v>0</v>
      </c>
      <c r="Q41" s="80">
        <f t="shared" si="12"/>
        <v>-93.86231999999998</v>
      </c>
    </row>
    <row r="42" spans="1:16" ht="15">
      <c r="A42" s="79"/>
      <c r="B42" s="79"/>
      <c r="C42" s="85"/>
      <c r="D42" s="86"/>
      <c r="E42" s="75"/>
      <c r="F42" s="75"/>
      <c r="G42" s="75"/>
      <c r="H42" s="75"/>
      <c r="I42" s="84"/>
      <c r="J42" s="75"/>
      <c r="K42" s="75"/>
      <c r="L42" s="75"/>
      <c r="M42" s="75"/>
      <c r="N42" s="75"/>
      <c r="O42" s="75"/>
      <c r="P42" s="53"/>
    </row>
    <row r="43" spans="1:16" ht="15">
      <c r="A43" s="79"/>
      <c r="B43" s="79"/>
      <c r="C43" s="85"/>
      <c r="D43" s="86"/>
      <c r="E43" s="75"/>
      <c r="F43" s="75"/>
      <c r="G43" s="75"/>
      <c r="H43" s="75"/>
      <c r="I43" s="84"/>
      <c r="J43" s="75"/>
      <c r="K43" s="75"/>
      <c r="L43" s="75"/>
      <c r="M43" s="75"/>
      <c r="N43" s="75"/>
      <c r="O43" s="75"/>
      <c r="P43" s="53"/>
    </row>
    <row r="44" spans="1:16" ht="31.5">
      <c r="A44" s="79"/>
      <c r="B44" s="79"/>
      <c r="C44" s="85"/>
      <c r="D44" s="86"/>
      <c r="E44" s="75"/>
      <c r="F44" s="96" t="s">
        <v>90</v>
      </c>
      <c r="G44" s="75"/>
      <c r="H44" s="75"/>
      <c r="I44" s="84"/>
      <c r="J44" s="75"/>
      <c r="K44" s="75"/>
      <c r="L44" s="75"/>
      <c r="M44" s="75"/>
      <c r="N44" s="75"/>
      <c r="O44" s="75"/>
      <c r="P44" s="53"/>
    </row>
    <row r="45" spans="1:17" ht="15">
      <c r="A45" s="79" t="s">
        <v>106</v>
      </c>
      <c r="B45" s="79" t="s">
        <v>107</v>
      </c>
      <c r="C45" s="85" t="s">
        <v>118</v>
      </c>
      <c r="D45" s="86" t="s">
        <v>119</v>
      </c>
      <c r="E45" s="75" t="s">
        <v>108</v>
      </c>
      <c r="F45" s="75" t="s">
        <v>109</v>
      </c>
      <c r="G45" s="75" t="s">
        <v>110</v>
      </c>
      <c r="H45" s="75" t="s">
        <v>111</v>
      </c>
      <c r="I45" s="84" t="s">
        <v>99</v>
      </c>
      <c r="J45" s="75" t="s">
        <v>112</v>
      </c>
      <c r="K45" s="75" t="s">
        <v>113</v>
      </c>
      <c r="L45" s="75" t="s">
        <v>114</v>
      </c>
      <c r="M45" s="75" t="s">
        <v>101</v>
      </c>
      <c r="N45" s="75" t="s">
        <v>115</v>
      </c>
      <c r="O45" s="75" t="s">
        <v>116</v>
      </c>
      <c r="P45" s="53" t="s">
        <v>115</v>
      </c>
      <c r="Q45" t="s">
        <v>117</v>
      </c>
    </row>
    <row r="46" spans="1:16" ht="15">
      <c r="A46" s="79" t="s">
        <v>120</v>
      </c>
      <c r="B46" s="79"/>
      <c r="C46" s="75"/>
      <c r="D46" s="75"/>
      <c r="E46" s="75"/>
      <c r="F46" s="75"/>
      <c r="G46" s="75"/>
      <c r="H46" s="75"/>
      <c r="I46" s="84"/>
      <c r="J46" s="75"/>
      <c r="K46" s="75"/>
      <c r="L46" s="75"/>
      <c r="M46" s="75"/>
      <c r="N46" s="75"/>
      <c r="O46" s="75"/>
      <c r="P46" s="53"/>
    </row>
    <row r="47" spans="1:17" ht="15">
      <c r="A47" s="79" t="s">
        <v>57</v>
      </c>
      <c r="B47" s="79" t="s">
        <v>58</v>
      </c>
      <c r="C47" s="85" t="e">
        <f aca="true" t="shared" si="13" ref="C47:C54">C34</f>
        <v>#REF!</v>
      </c>
      <c r="D47" s="86" t="e">
        <f>'31 DE OCTUBRE '!O7</f>
        <v>#REF!</v>
      </c>
      <c r="E47" s="85" t="e">
        <f>C47+D47</f>
        <v>#REF!</v>
      </c>
      <c r="F47" s="75">
        <v>0</v>
      </c>
      <c r="G47" s="85" t="e">
        <f>E47</f>
        <v>#REF!</v>
      </c>
      <c r="H47" s="85" t="e">
        <f>G47</f>
        <v>#REF!</v>
      </c>
      <c r="I47" s="80" t="e">
        <f>IF(H47&gt;0,LOOKUP(H47,$B$3:$C$13,$B$3:$B$13),0)</f>
        <v>#REF!</v>
      </c>
      <c r="J47" s="80" t="e">
        <f>H47-I47</f>
        <v>#REF!</v>
      </c>
      <c r="K47" s="81" t="e">
        <f>IF(H47&gt;0,LOOKUP(H47,$B$3:$C$11,$E$3:$E$11),0)</f>
        <v>#REF!</v>
      </c>
      <c r="L47" s="97" t="e">
        <f>J47*K47</f>
        <v>#REF!</v>
      </c>
      <c r="M47" s="97" t="e">
        <f>IF(H47&gt;0,LOOKUP(H47,$B$3:$C$13,$D$3:$D$13),0)</f>
        <v>#REF!</v>
      </c>
      <c r="N47" s="98" t="e">
        <f>M47+L47</f>
        <v>#REF!</v>
      </c>
      <c r="O47" s="80" t="e">
        <f>IF(H47&gt;0,LOOKUP(H47,$B$18:$C$28,$D$18:$D$28),0)</f>
        <v>#REF!</v>
      </c>
      <c r="P47" s="80" t="e">
        <f>IF(N47&gt;O47,N47-O47,0)</f>
        <v>#REF!</v>
      </c>
      <c r="Q47" s="80" t="e">
        <f>IF(N47&lt;O47,N47-O47,0)</f>
        <v>#REF!</v>
      </c>
    </row>
    <row r="48" spans="1:17" ht="15">
      <c r="A48" s="79" t="s">
        <v>57</v>
      </c>
      <c r="B48" s="79" t="s">
        <v>67</v>
      </c>
      <c r="C48" s="85" t="e">
        <f t="shared" si="13"/>
        <v>#REF!</v>
      </c>
      <c r="D48" s="86" t="e">
        <f>'31 DE OCTUBRE '!O8</f>
        <v>#REF!</v>
      </c>
      <c r="E48" s="85" t="e">
        <f aca="true" t="shared" si="14" ref="E48:E54">C48+D48</f>
        <v>#REF!</v>
      </c>
      <c r="F48" s="75">
        <v>0</v>
      </c>
      <c r="G48" s="85" t="e">
        <f aca="true" t="shared" si="15" ref="G48:G54">E48</f>
        <v>#REF!</v>
      </c>
      <c r="H48" s="85" t="e">
        <f aca="true" t="shared" si="16" ref="H48:H54">G48</f>
        <v>#REF!</v>
      </c>
      <c r="I48" s="80" t="e">
        <f aca="true" t="shared" si="17" ref="I48:I54">IF(H48&gt;0,LOOKUP(H48,$B$3:$C$13,$B$3:$B$13),0)</f>
        <v>#REF!</v>
      </c>
      <c r="J48" s="80" t="e">
        <f aca="true" t="shared" si="18" ref="J48:J54">H48-I48</f>
        <v>#REF!</v>
      </c>
      <c r="K48" s="81" t="e">
        <f aca="true" t="shared" si="19" ref="K48:K54">IF(H48&gt;0,LOOKUP(H48,$B$3:$C$11,$E$3:$E$11),0)</f>
        <v>#REF!</v>
      </c>
      <c r="L48" s="97" t="e">
        <f aca="true" t="shared" si="20" ref="L48:L54">J48*K48</f>
        <v>#REF!</v>
      </c>
      <c r="M48" s="97" t="e">
        <f aca="true" t="shared" si="21" ref="M48:M54">IF(H48&gt;0,LOOKUP(H48,$B$3:$C$13,$D$3:$D$13),0)</f>
        <v>#REF!</v>
      </c>
      <c r="N48" s="98" t="e">
        <f aca="true" t="shared" si="22" ref="N48:N54">M48+L48</f>
        <v>#REF!</v>
      </c>
      <c r="O48" s="80" t="e">
        <f aca="true" t="shared" si="23" ref="O48:O54">IF(H48&gt;0,LOOKUP(H48,$B$18:$C$28,$D$18:$D$28),0)</f>
        <v>#REF!</v>
      </c>
      <c r="P48" s="80" t="e">
        <f aca="true" t="shared" si="24" ref="P48:P54">IF(N48&gt;O48,N48-O48,0)</f>
        <v>#REF!</v>
      </c>
      <c r="Q48" s="80" t="e">
        <f aca="true" t="shared" si="25" ref="Q48:Q54">IF(N48&lt;O48,N48-O48,0)</f>
        <v>#REF!</v>
      </c>
    </row>
    <row r="49" spans="1:17" ht="15">
      <c r="A49" s="79" t="s">
        <v>57</v>
      </c>
      <c r="B49" s="79" t="s">
        <v>68</v>
      </c>
      <c r="C49" s="85" t="e">
        <f t="shared" si="13"/>
        <v>#REF!</v>
      </c>
      <c r="D49" s="86" t="e">
        <f>'31 DE OCTUBRE '!O9</f>
        <v>#REF!</v>
      </c>
      <c r="E49" s="85" t="e">
        <f t="shared" si="14"/>
        <v>#REF!</v>
      </c>
      <c r="F49" s="75">
        <v>0</v>
      </c>
      <c r="G49" s="85" t="e">
        <f t="shared" si="15"/>
        <v>#REF!</v>
      </c>
      <c r="H49" s="85" t="e">
        <f t="shared" si="16"/>
        <v>#REF!</v>
      </c>
      <c r="I49" s="80" t="e">
        <f t="shared" si="17"/>
        <v>#REF!</v>
      </c>
      <c r="J49" s="80" t="e">
        <f t="shared" si="18"/>
        <v>#REF!</v>
      </c>
      <c r="K49" s="81" t="e">
        <f t="shared" si="19"/>
        <v>#REF!</v>
      </c>
      <c r="L49" s="97" t="e">
        <f t="shared" si="20"/>
        <v>#REF!</v>
      </c>
      <c r="M49" s="97" t="e">
        <f t="shared" si="21"/>
        <v>#REF!</v>
      </c>
      <c r="N49" s="98" t="e">
        <f t="shared" si="22"/>
        <v>#REF!</v>
      </c>
      <c r="O49" s="80" t="e">
        <f t="shared" si="23"/>
        <v>#REF!</v>
      </c>
      <c r="P49" s="80" t="e">
        <f t="shared" si="24"/>
        <v>#REF!</v>
      </c>
      <c r="Q49" s="80" t="e">
        <f t="shared" si="25"/>
        <v>#REF!</v>
      </c>
    </row>
    <row r="50" spans="1:17" ht="15">
      <c r="A50" s="79" t="s">
        <v>57</v>
      </c>
      <c r="B50" s="79" t="s">
        <v>69</v>
      </c>
      <c r="C50" s="85" t="e">
        <f t="shared" si="13"/>
        <v>#REF!</v>
      </c>
      <c r="D50" s="86" t="e">
        <f>'31 DE OCTUBRE '!O10</f>
        <v>#REF!</v>
      </c>
      <c r="E50" s="85" t="e">
        <f t="shared" si="14"/>
        <v>#REF!</v>
      </c>
      <c r="F50" s="75">
        <v>0</v>
      </c>
      <c r="G50" s="85" t="e">
        <f t="shared" si="15"/>
        <v>#REF!</v>
      </c>
      <c r="H50" s="85" t="e">
        <f t="shared" si="16"/>
        <v>#REF!</v>
      </c>
      <c r="I50" s="80" t="e">
        <f t="shared" si="17"/>
        <v>#REF!</v>
      </c>
      <c r="J50" s="80" t="e">
        <f t="shared" si="18"/>
        <v>#REF!</v>
      </c>
      <c r="K50" s="81" t="e">
        <f t="shared" si="19"/>
        <v>#REF!</v>
      </c>
      <c r="L50" s="97" t="e">
        <f t="shared" si="20"/>
        <v>#REF!</v>
      </c>
      <c r="M50" s="97" t="e">
        <f t="shared" si="21"/>
        <v>#REF!</v>
      </c>
      <c r="N50" s="98" t="e">
        <f t="shared" si="22"/>
        <v>#REF!</v>
      </c>
      <c r="O50" s="80" t="e">
        <f t="shared" si="23"/>
        <v>#REF!</v>
      </c>
      <c r="P50" s="80" t="e">
        <f t="shared" si="24"/>
        <v>#REF!</v>
      </c>
      <c r="Q50" s="80" t="e">
        <f t="shared" si="25"/>
        <v>#REF!</v>
      </c>
    </row>
    <row r="51" spans="1:17" ht="15">
      <c r="A51" s="79" t="s">
        <v>57</v>
      </c>
      <c r="B51" s="79" t="s">
        <v>81</v>
      </c>
      <c r="C51" s="85" t="e">
        <f t="shared" si="13"/>
        <v>#REF!</v>
      </c>
      <c r="D51" s="86" t="e">
        <f>'31 DE OCTUBRE '!O11</f>
        <v>#REF!</v>
      </c>
      <c r="E51" s="85" t="e">
        <f t="shared" si="14"/>
        <v>#REF!</v>
      </c>
      <c r="F51" s="75">
        <v>0</v>
      </c>
      <c r="G51" s="85" t="e">
        <f t="shared" si="15"/>
        <v>#REF!</v>
      </c>
      <c r="H51" s="85" t="e">
        <f t="shared" si="16"/>
        <v>#REF!</v>
      </c>
      <c r="I51" s="80" t="e">
        <f t="shared" si="17"/>
        <v>#REF!</v>
      </c>
      <c r="J51" s="80" t="e">
        <f t="shared" si="18"/>
        <v>#REF!</v>
      </c>
      <c r="K51" s="81" t="e">
        <f t="shared" si="19"/>
        <v>#REF!</v>
      </c>
      <c r="L51" s="97" t="e">
        <f t="shared" si="20"/>
        <v>#REF!</v>
      </c>
      <c r="M51" s="97" t="e">
        <f t="shared" si="21"/>
        <v>#REF!</v>
      </c>
      <c r="N51" s="98" t="e">
        <f t="shared" si="22"/>
        <v>#REF!</v>
      </c>
      <c r="O51" s="80" t="e">
        <f t="shared" si="23"/>
        <v>#REF!</v>
      </c>
      <c r="P51" s="80" t="e">
        <f t="shared" si="24"/>
        <v>#REF!</v>
      </c>
      <c r="Q51" s="80" t="e">
        <f t="shared" si="25"/>
        <v>#REF!</v>
      </c>
    </row>
    <row r="52" spans="1:17" ht="15">
      <c r="A52" s="79" t="s">
        <v>57</v>
      </c>
      <c r="B52" s="79" t="s">
        <v>84</v>
      </c>
      <c r="C52" s="85" t="e">
        <f t="shared" si="13"/>
        <v>#REF!</v>
      </c>
      <c r="D52" s="86" t="e">
        <f>'31 DE OCTUBRE '!O12</f>
        <v>#REF!</v>
      </c>
      <c r="E52" s="85" t="e">
        <f t="shared" si="14"/>
        <v>#REF!</v>
      </c>
      <c r="F52" s="75">
        <v>0</v>
      </c>
      <c r="G52" s="85" t="e">
        <f t="shared" si="15"/>
        <v>#REF!</v>
      </c>
      <c r="H52" s="85" t="e">
        <f t="shared" si="16"/>
        <v>#REF!</v>
      </c>
      <c r="I52" s="80" t="e">
        <f t="shared" si="17"/>
        <v>#REF!</v>
      </c>
      <c r="J52" s="80" t="e">
        <f t="shared" si="18"/>
        <v>#REF!</v>
      </c>
      <c r="K52" s="81" t="e">
        <f t="shared" si="19"/>
        <v>#REF!</v>
      </c>
      <c r="L52" s="97" t="e">
        <f t="shared" si="20"/>
        <v>#REF!</v>
      </c>
      <c r="M52" s="97" t="e">
        <f t="shared" si="21"/>
        <v>#REF!</v>
      </c>
      <c r="N52" s="98" t="e">
        <f t="shared" si="22"/>
        <v>#REF!</v>
      </c>
      <c r="O52" s="80" t="e">
        <f t="shared" si="23"/>
        <v>#REF!</v>
      </c>
      <c r="P52" s="80" t="e">
        <f t="shared" si="24"/>
        <v>#REF!</v>
      </c>
      <c r="Q52" s="80" t="e">
        <f t="shared" si="25"/>
        <v>#REF!</v>
      </c>
    </row>
    <row r="53" spans="1:17" ht="15">
      <c r="A53" s="79" t="s">
        <v>57</v>
      </c>
      <c r="B53" s="79" t="s">
        <v>92</v>
      </c>
      <c r="C53" s="85">
        <f t="shared" si="13"/>
        <v>1701.7600000000002</v>
      </c>
      <c r="D53" s="86">
        <f>'31 DE OCTUBRE '!O13</f>
        <v>2086.592</v>
      </c>
      <c r="E53" s="85">
        <f t="shared" si="14"/>
        <v>3788.3520000000003</v>
      </c>
      <c r="F53" s="75">
        <v>0</v>
      </c>
      <c r="G53" s="85">
        <f t="shared" si="15"/>
        <v>3788.3520000000003</v>
      </c>
      <c r="H53" s="85">
        <f t="shared" si="16"/>
        <v>3788.3520000000003</v>
      </c>
      <c r="I53" s="80">
        <f t="shared" si="17"/>
        <v>496.08</v>
      </c>
      <c r="J53" s="80">
        <f t="shared" si="18"/>
        <v>3292.2720000000004</v>
      </c>
      <c r="K53" s="81">
        <f t="shared" si="19"/>
        <v>0.064</v>
      </c>
      <c r="L53" s="97">
        <f t="shared" si="20"/>
        <v>210.70540800000003</v>
      </c>
      <c r="M53" s="97">
        <f t="shared" si="21"/>
        <v>9.52</v>
      </c>
      <c r="N53" s="98">
        <f t="shared" si="22"/>
        <v>220.22540800000004</v>
      </c>
      <c r="O53" s="80">
        <f t="shared" si="23"/>
        <v>382.46</v>
      </c>
      <c r="P53" s="80">
        <f t="shared" si="24"/>
        <v>0</v>
      </c>
      <c r="Q53" s="80">
        <f t="shared" si="25"/>
        <v>-162.23459199999994</v>
      </c>
    </row>
    <row r="54" spans="1:17" ht="15">
      <c r="A54" s="79" t="s">
        <v>57</v>
      </c>
      <c r="B54" s="79" t="s">
        <v>87</v>
      </c>
      <c r="C54" s="85">
        <f t="shared" si="13"/>
        <v>1733.6800000000003</v>
      </c>
      <c r="D54" s="86">
        <f>'31 DE OCTUBRE '!O14</f>
        <v>2086.592</v>
      </c>
      <c r="E54" s="85">
        <f t="shared" si="14"/>
        <v>3820.2720000000004</v>
      </c>
      <c r="F54" s="75">
        <v>0</v>
      </c>
      <c r="G54" s="85">
        <f t="shared" si="15"/>
        <v>3820.2720000000004</v>
      </c>
      <c r="H54" s="85">
        <f t="shared" si="16"/>
        <v>3820.2720000000004</v>
      </c>
      <c r="I54" s="80">
        <f t="shared" si="17"/>
        <v>496.08</v>
      </c>
      <c r="J54" s="80">
        <f t="shared" si="18"/>
        <v>3324.1920000000005</v>
      </c>
      <c r="K54" s="81">
        <f t="shared" si="19"/>
        <v>0.064</v>
      </c>
      <c r="L54" s="97">
        <f t="shared" si="20"/>
        <v>212.74828800000003</v>
      </c>
      <c r="M54" s="97">
        <f t="shared" si="21"/>
        <v>9.52</v>
      </c>
      <c r="N54" s="98">
        <f t="shared" si="22"/>
        <v>222.26828800000004</v>
      </c>
      <c r="O54" s="80">
        <f t="shared" si="23"/>
        <v>382.46</v>
      </c>
      <c r="P54" s="80">
        <f t="shared" si="24"/>
        <v>0</v>
      </c>
      <c r="Q54" s="80">
        <f t="shared" si="25"/>
        <v>-160.19171199999994</v>
      </c>
    </row>
    <row r="55" spans="1:16" ht="15">
      <c r="A55" s="79"/>
      <c r="B55" s="79"/>
      <c r="C55" s="85"/>
      <c r="D55" s="86"/>
      <c r="E55" s="75"/>
      <c r="F55" s="75"/>
      <c r="G55" s="75"/>
      <c r="H55" s="75"/>
      <c r="I55" s="84"/>
      <c r="J55" s="75"/>
      <c r="K55" s="75"/>
      <c r="L55" s="75"/>
      <c r="M55" s="75"/>
      <c r="N55" s="75"/>
      <c r="O55" s="75"/>
      <c r="P55" s="53"/>
    </row>
    <row r="56" spans="1:16" ht="15">
      <c r="A56" s="79"/>
      <c r="B56" s="79"/>
      <c r="C56" s="85"/>
      <c r="D56" s="86"/>
      <c r="E56" s="75"/>
      <c r="F56" s="75"/>
      <c r="G56" s="75"/>
      <c r="H56" s="75"/>
      <c r="I56" s="84"/>
      <c r="J56" s="75"/>
      <c r="K56" s="75"/>
      <c r="L56" s="75"/>
      <c r="M56" s="75"/>
      <c r="N56" s="75"/>
      <c r="O56" s="75"/>
      <c r="P56" s="53"/>
    </row>
    <row r="57" spans="1:16" ht="15">
      <c r="A57" s="79"/>
      <c r="B57" s="79"/>
      <c r="C57" s="85"/>
      <c r="D57" s="86"/>
      <c r="E57" s="75"/>
      <c r="F57" s="75"/>
      <c r="G57" s="75"/>
      <c r="H57" s="75"/>
      <c r="I57" s="84"/>
      <c r="J57" s="75"/>
      <c r="K57" s="75"/>
      <c r="L57" s="75"/>
      <c r="M57" s="75"/>
      <c r="N57" s="75"/>
      <c r="O57" s="75"/>
      <c r="P57" s="53"/>
    </row>
    <row r="58" spans="1:16" ht="15">
      <c r="A58" s="79"/>
      <c r="B58" s="79"/>
      <c r="C58" s="85"/>
      <c r="D58" s="86"/>
      <c r="E58" s="75"/>
      <c r="F58" s="75"/>
      <c r="G58" s="75"/>
      <c r="H58" s="75"/>
      <c r="I58" s="84"/>
      <c r="J58" s="75"/>
      <c r="K58" s="75"/>
      <c r="L58" s="75"/>
      <c r="M58" s="75"/>
      <c r="N58" s="75"/>
      <c r="O58" s="75"/>
      <c r="P58" s="53"/>
    </row>
    <row r="59" spans="1:16" ht="15">
      <c r="A59" s="79"/>
      <c r="B59" s="79"/>
      <c r="C59" s="85"/>
      <c r="D59" s="86"/>
      <c r="E59" s="75"/>
      <c r="F59" s="75"/>
      <c r="G59" s="75"/>
      <c r="H59" s="75"/>
      <c r="I59" s="84"/>
      <c r="J59" s="75"/>
      <c r="K59" s="75"/>
      <c r="L59" s="75"/>
      <c r="M59" s="75"/>
      <c r="N59" s="75"/>
      <c r="O59" s="75"/>
      <c r="P59" s="53"/>
    </row>
    <row r="60" spans="1:16" ht="15">
      <c r="A60" s="79"/>
      <c r="B60" s="79"/>
      <c r="C60" s="85"/>
      <c r="D60" s="86"/>
      <c r="E60" s="75"/>
      <c r="F60" s="75"/>
      <c r="G60" s="75"/>
      <c r="H60" s="75"/>
      <c r="I60" s="84"/>
      <c r="J60" s="75"/>
      <c r="K60" s="75"/>
      <c r="L60" s="75"/>
      <c r="M60" s="75"/>
      <c r="N60" s="75"/>
      <c r="O60" s="75"/>
      <c r="P60" s="53"/>
    </row>
    <row r="61" spans="1:16" ht="15">
      <c r="A61" s="79"/>
      <c r="B61" s="79"/>
      <c r="C61" s="85"/>
      <c r="D61" s="86"/>
      <c r="E61" s="75"/>
      <c r="F61" s="75"/>
      <c r="G61" s="75"/>
      <c r="H61" s="75"/>
      <c r="I61" s="84"/>
      <c r="J61" s="75"/>
      <c r="K61" s="75"/>
      <c r="L61" s="75"/>
      <c r="M61" s="75"/>
      <c r="N61" s="75"/>
      <c r="O61" s="75"/>
      <c r="P61" s="53"/>
    </row>
    <row r="62" spans="1:16" ht="15">
      <c r="A62" s="79"/>
      <c r="B62" s="79"/>
      <c r="C62" s="85"/>
      <c r="D62" s="86"/>
      <c r="E62" s="75"/>
      <c r="F62" s="75"/>
      <c r="G62" s="75"/>
      <c r="H62" s="75"/>
      <c r="I62" s="84"/>
      <c r="J62" s="75"/>
      <c r="K62" s="75"/>
      <c r="L62" s="75"/>
      <c r="M62" s="75"/>
      <c r="N62" s="75"/>
      <c r="O62" s="75"/>
      <c r="P62" s="53"/>
    </row>
    <row r="63" spans="1:16" ht="15">
      <c r="A63" s="79"/>
      <c r="B63" s="79"/>
      <c r="C63" s="85"/>
      <c r="D63" s="86"/>
      <c r="E63" s="75"/>
      <c r="F63" s="75"/>
      <c r="G63" s="75"/>
      <c r="H63" s="75"/>
      <c r="I63" s="84"/>
      <c r="J63" s="75"/>
      <c r="K63" s="75"/>
      <c r="L63" s="75"/>
      <c r="M63" s="75"/>
      <c r="N63" s="75"/>
      <c r="O63" s="75"/>
      <c r="P63" s="53"/>
    </row>
    <row r="64" spans="1:16" ht="15">
      <c r="A64" s="79"/>
      <c r="B64" s="79"/>
      <c r="C64" s="85"/>
      <c r="D64" s="86"/>
      <c r="E64" s="75"/>
      <c r="F64" s="75"/>
      <c r="G64" s="75"/>
      <c r="H64" s="75"/>
      <c r="I64" s="84"/>
      <c r="J64" s="75"/>
      <c r="K64" s="75"/>
      <c r="L64" s="75"/>
      <c r="M64" s="75"/>
      <c r="N64" s="75"/>
      <c r="O64" s="75"/>
      <c r="P64" s="53"/>
    </row>
    <row r="65" spans="1:16" ht="15">
      <c r="A65" s="79"/>
      <c r="B65" s="79"/>
      <c r="C65" s="85"/>
      <c r="D65" s="86"/>
      <c r="E65" s="75"/>
      <c r="F65" s="75"/>
      <c r="G65" s="75"/>
      <c r="H65" s="75"/>
      <c r="I65" s="84"/>
      <c r="J65" s="75"/>
      <c r="K65" s="75"/>
      <c r="L65" s="75"/>
      <c r="M65" s="75"/>
      <c r="N65" s="75"/>
      <c r="O65" s="75"/>
      <c r="P65" s="53"/>
    </row>
    <row r="66" spans="1:16" ht="15">
      <c r="A66" s="79"/>
      <c r="B66" s="79"/>
      <c r="C66" s="85"/>
      <c r="D66" s="86"/>
      <c r="E66" s="75"/>
      <c r="F66" s="75"/>
      <c r="G66" s="75"/>
      <c r="H66" s="75"/>
      <c r="I66" s="84"/>
      <c r="J66" s="75"/>
      <c r="K66" s="75"/>
      <c r="L66" s="75"/>
      <c r="M66" s="75"/>
      <c r="N66" s="75"/>
      <c r="O66" s="75"/>
      <c r="P66" s="53"/>
    </row>
    <row r="67" spans="1:16" ht="15">
      <c r="A67" s="79"/>
      <c r="B67" s="79"/>
      <c r="C67" s="75"/>
      <c r="D67" s="75"/>
      <c r="E67" s="75"/>
      <c r="F67" s="75"/>
      <c r="G67" s="75"/>
      <c r="H67" s="75"/>
      <c r="I67" s="84"/>
      <c r="J67" s="75"/>
      <c r="K67" s="75"/>
      <c r="L67" s="75"/>
      <c r="M67" s="75"/>
      <c r="N67" s="75"/>
      <c r="O67" s="75"/>
      <c r="P67" s="53"/>
    </row>
    <row r="68" spans="1:16" ht="15">
      <c r="A68" s="79"/>
      <c r="B68" s="79"/>
      <c r="C68" s="75"/>
      <c r="D68" s="75"/>
      <c r="E68" s="75"/>
      <c r="F68" s="75"/>
      <c r="G68" s="75"/>
      <c r="H68" s="75"/>
      <c r="I68" s="84"/>
      <c r="J68" s="75"/>
      <c r="K68" s="75"/>
      <c r="L68" s="75"/>
      <c r="M68" s="75"/>
      <c r="N68" s="75"/>
      <c r="O68" s="75"/>
      <c r="P68" s="53"/>
    </row>
    <row r="69" spans="1:16" ht="15">
      <c r="A69" s="79"/>
      <c r="B69" s="79"/>
      <c r="C69" s="85"/>
      <c r="D69" s="86"/>
      <c r="E69" s="75"/>
      <c r="F69" s="75"/>
      <c r="G69" s="75"/>
      <c r="H69" s="75"/>
      <c r="I69" s="84"/>
      <c r="J69" s="75"/>
      <c r="K69" s="75"/>
      <c r="L69" s="75"/>
      <c r="M69" s="75"/>
      <c r="N69" s="75"/>
      <c r="O69" s="75"/>
      <c r="P69" s="53"/>
    </row>
    <row r="70" spans="1:16" ht="15">
      <c r="A70" s="79"/>
      <c r="B70" s="79"/>
      <c r="C70" s="85"/>
      <c r="D70" s="86"/>
      <c r="E70" s="75"/>
      <c r="F70" s="75"/>
      <c r="G70" s="75"/>
      <c r="H70" s="75"/>
      <c r="I70" s="84"/>
      <c r="J70" s="75"/>
      <c r="K70" s="75"/>
      <c r="L70" s="75"/>
      <c r="M70" s="75"/>
      <c r="N70" s="75"/>
      <c r="O70" s="75"/>
      <c r="P70" s="53"/>
    </row>
    <row r="71" spans="1:16" ht="15">
      <c r="A71" s="79"/>
      <c r="B71" s="79"/>
      <c r="C71" s="85"/>
      <c r="D71" s="86"/>
      <c r="E71" s="75"/>
      <c r="F71" s="75"/>
      <c r="G71" s="75"/>
      <c r="H71" s="75"/>
      <c r="I71" s="84"/>
      <c r="J71" s="75"/>
      <c r="K71" s="75"/>
      <c r="L71" s="75"/>
      <c r="M71" s="75"/>
      <c r="N71" s="75"/>
      <c r="O71" s="75"/>
      <c r="P71" s="53"/>
    </row>
    <row r="72" spans="1:16" ht="15">
      <c r="A72" s="79"/>
      <c r="B72" s="79"/>
      <c r="C72" s="85"/>
      <c r="D72" s="86"/>
      <c r="E72" s="75"/>
      <c r="F72" s="75"/>
      <c r="G72" s="75"/>
      <c r="H72" s="75"/>
      <c r="I72" s="84"/>
      <c r="J72" s="75"/>
      <c r="K72" s="75"/>
      <c r="L72" s="75"/>
      <c r="M72" s="75"/>
      <c r="N72" s="75"/>
      <c r="O72" s="75"/>
      <c r="P72" s="53"/>
    </row>
    <row r="73" spans="3:16" ht="1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3:16" ht="1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3:16" ht="15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3:16" ht="15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3:16" ht="15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3:16" ht="1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3:16" ht="1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3:16" ht="1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3:16" ht="1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3:16" ht="1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3:16" ht="1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3:16" ht="1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3:16" ht="1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3:16" ht="1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</sheetData>
  <sheetProtection/>
  <mergeCells count="7">
    <mergeCell ref="H15:M15"/>
    <mergeCell ref="H16:I16"/>
    <mergeCell ref="J16:K16"/>
    <mergeCell ref="L16:M16"/>
    <mergeCell ref="H17:I17"/>
    <mergeCell ref="J17:K17"/>
    <mergeCell ref="L17:M1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86"/>
  <sheetViews>
    <sheetView zoomScalePageLayoutView="0" workbookViewId="0" topLeftCell="A40">
      <selection activeCell="D51" sqref="D51"/>
    </sheetView>
  </sheetViews>
  <sheetFormatPr defaultColWidth="11.421875" defaultRowHeight="15"/>
  <cols>
    <col min="1" max="1" width="8.00390625" style="0" bestFit="1" customWidth="1"/>
    <col min="2" max="2" width="29.421875" style="0" bestFit="1" customWidth="1"/>
    <col min="4" max="4" width="12.57421875" style="0" customWidth="1"/>
  </cols>
  <sheetData>
    <row r="1" spans="2:8" ht="15">
      <c r="B1" t="s">
        <v>90</v>
      </c>
      <c r="H1" t="s">
        <v>123</v>
      </c>
    </row>
    <row r="2" spans="2:13" ht="15.75" thickBot="1">
      <c r="B2" t="s">
        <v>98</v>
      </c>
      <c r="D2" s="53"/>
      <c r="H2" s="89" t="s">
        <v>124</v>
      </c>
      <c r="I2" s="90"/>
      <c r="J2" s="90"/>
      <c r="K2" s="90"/>
      <c r="L2" s="90"/>
      <c r="M2" s="90"/>
    </row>
    <row r="3" spans="2:13" ht="46.5" thickBot="1" thickTop="1">
      <c r="B3" s="71" t="s">
        <v>99</v>
      </c>
      <c r="C3" s="71" t="s">
        <v>100</v>
      </c>
      <c r="D3" s="71" t="s">
        <v>101</v>
      </c>
      <c r="E3" s="72" t="s">
        <v>102</v>
      </c>
      <c r="H3" s="100" t="s">
        <v>125</v>
      </c>
      <c r="I3" s="100" t="s">
        <v>126</v>
      </c>
      <c r="J3" s="100" t="s">
        <v>127</v>
      </c>
      <c r="K3" s="100" t="s">
        <v>128</v>
      </c>
      <c r="L3" s="90"/>
      <c r="M3" s="90"/>
    </row>
    <row r="4" spans="2:13" ht="34.5" thickTop="1">
      <c r="B4" s="73">
        <v>0.01</v>
      </c>
      <c r="C4" s="73">
        <f>B5-0.01</f>
        <v>496.07</v>
      </c>
      <c r="D4" s="73">
        <f>O4</f>
        <v>0</v>
      </c>
      <c r="E4" s="74">
        <v>0.0192</v>
      </c>
      <c r="H4" s="100"/>
      <c r="I4" s="100"/>
      <c r="J4" s="100"/>
      <c r="K4" s="100" t="s">
        <v>129</v>
      </c>
      <c r="L4" s="90"/>
      <c r="M4" s="90"/>
    </row>
    <row r="5" spans="2:13" ht="15">
      <c r="B5" s="73">
        <v>496.08</v>
      </c>
      <c r="C5" s="73">
        <f>B6-0.01</f>
        <v>4210.41</v>
      </c>
      <c r="D5" s="73">
        <v>9.52</v>
      </c>
      <c r="E5" s="74">
        <v>0.064</v>
      </c>
      <c r="H5" s="100" t="s">
        <v>130</v>
      </c>
      <c r="I5" s="100" t="s">
        <v>130</v>
      </c>
      <c r="J5" s="100" t="s">
        <v>130</v>
      </c>
      <c r="K5" s="100" t="s">
        <v>131</v>
      </c>
      <c r="L5" s="90"/>
      <c r="M5" s="90"/>
    </row>
    <row r="6" spans="2:13" ht="15">
      <c r="B6" s="73">
        <v>4210.42</v>
      </c>
      <c r="C6" s="73">
        <f>B7-0.01</f>
        <v>7399.42</v>
      </c>
      <c r="D6" s="73">
        <v>247.23</v>
      </c>
      <c r="E6" s="74">
        <v>0.1088</v>
      </c>
      <c r="H6" s="100">
        <v>0.01</v>
      </c>
      <c r="I6" s="100">
        <v>244.8</v>
      </c>
      <c r="J6" s="100">
        <v>0</v>
      </c>
      <c r="K6" s="92">
        <v>0.0192</v>
      </c>
      <c r="L6" s="90"/>
      <c r="M6" s="90"/>
    </row>
    <row r="7" spans="2:13" ht="15">
      <c r="B7" s="73">
        <v>7399.43</v>
      </c>
      <c r="C7" s="73">
        <f>B8-0.01</f>
        <v>8601.5</v>
      </c>
      <c r="D7" s="73">
        <v>594.24</v>
      </c>
      <c r="E7" s="74">
        <v>0.16</v>
      </c>
      <c r="H7" s="100">
        <v>244.81</v>
      </c>
      <c r="I7" s="93">
        <v>2077.5</v>
      </c>
      <c r="J7" s="100">
        <v>4.65</v>
      </c>
      <c r="K7" s="92">
        <v>0.064</v>
      </c>
      <c r="L7" s="90"/>
      <c r="M7" s="90"/>
    </row>
    <row r="8" spans="2:13" ht="15">
      <c r="B8" s="73">
        <v>8601.51</v>
      </c>
      <c r="C8" s="73">
        <v>10298.35</v>
      </c>
      <c r="D8" s="73">
        <v>786.55</v>
      </c>
      <c r="E8" s="74">
        <v>0.1792</v>
      </c>
      <c r="H8" s="93">
        <v>2077.51</v>
      </c>
      <c r="I8" s="93">
        <v>3651</v>
      </c>
      <c r="J8" s="100">
        <v>121.95</v>
      </c>
      <c r="K8" s="92">
        <v>0.1088</v>
      </c>
      <c r="L8" s="90"/>
      <c r="M8" s="90"/>
    </row>
    <row r="9" spans="2:13" ht="15">
      <c r="B9" s="73">
        <v>10298.36</v>
      </c>
      <c r="C9" s="73">
        <v>20770.29</v>
      </c>
      <c r="D9" s="73">
        <v>1090.62</v>
      </c>
      <c r="E9" s="74">
        <v>0.2136</v>
      </c>
      <c r="H9" s="93">
        <v>3651.01</v>
      </c>
      <c r="I9" s="93">
        <v>4244.1</v>
      </c>
      <c r="J9" s="100">
        <v>293.25</v>
      </c>
      <c r="K9" s="94">
        <v>0.16</v>
      </c>
      <c r="L9" s="90"/>
      <c r="M9" s="90"/>
    </row>
    <row r="10" spans="2:13" ht="15">
      <c r="B10" s="73">
        <v>20770.3</v>
      </c>
      <c r="C10" s="73">
        <v>32736.83</v>
      </c>
      <c r="D10" s="73">
        <v>3327.42</v>
      </c>
      <c r="E10" s="74">
        <v>0.2352</v>
      </c>
      <c r="H10" s="93">
        <v>4244.11</v>
      </c>
      <c r="I10" s="93">
        <v>5081.4</v>
      </c>
      <c r="J10" s="100">
        <v>388.05</v>
      </c>
      <c r="K10" s="92">
        <v>0.1792</v>
      </c>
      <c r="L10" s="90"/>
      <c r="M10" s="90"/>
    </row>
    <row r="11" spans="2:13" ht="15">
      <c r="B11" s="73">
        <v>32736.84</v>
      </c>
      <c r="C11" s="73" t="s">
        <v>103</v>
      </c>
      <c r="D11" s="73">
        <v>6141.95</v>
      </c>
      <c r="E11" s="74">
        <v>0.3</v>
      </c>
      <c r="H11" s="93">
        <v>5081.41</v>
      </c>
      <c r="I11" s="93">
        <v>10248.45</v>
      </c>
      <c r="J11" s="100">
        <v>538.2</v>
      </c>
      <c r="K11" s="92">
        <v>0.2136</v>
      </c>
      <c r="L11" s="90"/>
      <c r="M11" s="90"/>
    </row>
    <row r="12" spans="3:13" ht="15">
      <c r="C12" s="75"/>
      <c r="D12" s="75"/>
      <c r="E12" s="75"/>
      <c r="F12" s="76"/>
      <c r="H12" s="93">
        <v>10248.46</v>
      </c>
      <c r="I12" s="93">
        <v>16153.05</v>
      </c>
      <c r="J12" s="93">
        <v>1641.75</v>
      </c>
      <c r="K12" s="92">
        <v>0.2352</v>
      </c>
      <c r="L12" s="90"/>
      <c r="M12" s="90"/>
    </row>
    <row r="13" spans="3:13" ht="15">
      <c r="C13" s="75"/>
      <c r="D13" s="75"/>
      <c r="E13" s="75"/>
      <c r="F13" s="76"/>
      <c r="H13" s="93">
        <v>16153.06</v>
      </c>
      <c r="I13" s="100" t="s">
        <v>103</v>
      </c>
      <c r="J13" s="93">
        <v>3030.6</v>
      </c>
      <c r="K13" s="94">
        <v>0.3</v>
      </c>
      <c r="L13" s="90"/>
      <c r="M13" s="90"/>
    </row>
    <row r="14" spans="3:13" ht="15">
      <c r="C14" s="75"/>
      <c r="D14" s="75"/>
      <c r="E14" s="75"/>
      <c r="F14" s="76"/>
      <c r="H14" s="89" t="s">
        <v>132</v>
      </c>
      <c r="I14" s="90"/>
      <c r="J14" s="90"/>
      <c r="K14" s="90"/>
      <c r="L14" s="90"/>
      <c r="M14" s="90"/>
    </row>
    <row r="15" spans="3:13" ht="15">
      <c r="C15" s="75"/>
      <c r="D15" s="75"/>
      <c r="E15" s="75"/>
      <c r="F15" s="76"/>
      <c r="H15" s="330" t="s">
        <v>133</v>
      </c>
      <c r="I15" s="330"/>
      <c r="J15" s="330"/>
      <c r="K15" s="330"/>
      <c r="L15" s="330"/>
      <c r="M15" s="330"/>
    </row>
    <row r="16" spans="2:13" ht="15.75" thickBot="1">
      <c r="B16" s="23" t="s">
        <v>104</v>
      </c>
      <c r="C16" s="23"/>
      <c r="D16" s="23"/>
      <c r="H16" s="330" t="s">
        <v>134</v>
      </c>
      <c r="I16" s="330"/>
      <c r="J16" s="330" t="s">
        <v>135</v>
      </c>
      <c r="K16" s="330"/>
      <c r="L16" s="330" t="s">
        <v>136</v>
      </c>
      <c r="M16" s="330"/>
    </row>
    <row r="17" spans="2:13" ht="24" thickBot="1" thickTop="1">
      <c r="B17" s="71" t="s">
        <v>99</v>
      </c>
      <c r="C17" s="71" t="s">
        <v>100</v>
      </c>
      <c r="D17" s="72" t="s">
        <v>105</v>
      </c>
      <c r="H17" s="330" t="s">
        <v>130</v>
      </c>
      <c r="I17" s="330"/>
      <c r="J17" s="330" t="s">
        <v>130</v>
      </c>
      <c r="K17" s="330"/>
      <c r="L17" s="330" t="s">
        <v>130</v>
      </c>
      <c r="M17" s="330"/>
    </row>
    <row r="18" spans="2:13" ht="15.75" thickTop="1">
      <c r="B18" s="73">
        <v>0.01</v>
      </c>
      <c r="C18" s="73">
        <f aca="true" t="shared" si="0" ref="C18:C27">B19-0.01</f>
        <v>1768.96</v>
      </c>
      <c r="D18" s="73">
        <v>407.02</v>
      </c>
      <c r="I18" s="100">
        <v>0.01</v>
      </c>
      <c r="J18" s="100">
        <v>872.85</v>
      </c>
      <c r="K18" s="100">
        <v>200.85</v>
      </c>
      <c r="M18" s="100"/>
    </row>
    <row r="19" spans="2:13" ht="15">
      <c r="B19" s="73">
        <v>1768.97</v>
      </c>
      <c r="C19" s="73">
        <f t="shared" si="0"/>
        <v>2653.3799999999997</v>
      </c>
      <c r="D19" s="73">
        <v>406.83</v>
      </c>
      <c r="I19" s="100">
        <v>872.86</v>
      </c>
      <c r="J19" s="93">
        <v>1309.2</v>
      </c>
      <c r="K19" s="100">
        <v>200.7</v>
      </c>
      <c r="M19" s="100"/>
    </row>
    <row r="20" spans="2:13" ht="15">
      <c r="B20" s="73">
        <v>2653.39</v>
      </c>
      <c r="C20" s="73">
        <f t="shared" si="0"/>
        <v>3472.8399999999997</v>
      </c>
      <c r="D20" s="73">
        <v>406.62</v>
      </c>
      <c r="I20" s="93">
        <v>1309.21</v>
      </c>
      <c r="J20" s="93">
        <v>1713.6</v>
      </c>
      <c r="K20" s="100">
        <v>200.7</v>
      </c>
      <c r="M20" s="100"/>
    </row>
    <row r="21" spans="2:13" ht="15">
      <c r="B21" s="73">
        <v>3472.85</v>
      </c>
      <c r="C21" s="73">
        <f t="shared" si="0"/>
        <v>3537.87</v>
      </c>
      <c r="D21" s="73">
        <v>392.77</v>
      </c>
      <c r="I21" s="93">
        <v>1713.61</v>
      </c>
      <c r="J21" s="93">
        <v>1745.7</v>
      </c>
      <c r="K21" s="100">
        <v>193.8</v>
      </c>
      <c r="M21" s="100"/>
    </row>
    <row r="22" spans="2:13" ht="15">
      <c r="B22" s="73">
        <v>3537.88</v>
      </c>
      <c r="C22" s="73">
        <f t="shared" si="0"/>
        <v>4446.15</v>
      </c>
      <c r="D22" s="73">
        <v>382.46</v>
      </c>
      <c r="I22" s="93">
        <v>1745.71</v>
      </c>
      <c r="J22" s="93">
        <v>2193.75</v>
      </c>
      <c r="K22" s="100">
        <v>188.7</v>
      </c>
      <c r="M22" s="100"/>
    </row>
    <row r="23" spans="2:13" ht="15">
      <c r="B23" s="73">
        <v>4446.16</v>
      </c>
      <c r="C23" s="73">
        <f t="shared" si="0"/>
        <v>4717.179999999999</v>
      </c>
      <c r="D23" s="73">
        <v>354.23</v>
      </c>
      <c r="I23" s="93">
        <v>2193.76</v>
      </c>
      <c r="J23" s="93">
        <v>2327.55</v>
      </c>
      <c r="K23" s="100">
        <v>174.75</v>
      </c>
      <c r="M23" s="100"/>
    </row>
    <row r="24" spans="2:13" ht="15">
      <c r="B24" s="73">
        <v>4717.19</v>
      </c>
      <c r="C24" s="73">
        <f t="shared" si="0"/>
        <v>5335.42</v>
      </c>
      <c r="D24" s="73">
        <v>324.87</v>
      </c>
      <c r="I24" s="93">
        <v>2327.56</v>
      </c>
      <c r="J24" s="93">
        <v>2632.65</v>
      </c>
      <c r="K24" s="100">
        <v>160.35</v>
      </c>
      <c r="M24" s="100"/>
    </row>
    <row r="25" spans="2:13" ht="15">
      <c r="B25" s="73">
        <v>5335.43</v>
      </c>
      <c r="C25" s="73">
        <f t="shared" si="0"/>
        <v>6224.67</v>
      </c>
      <c r="D25" s="73">
        <v>294.63</v>
      </c>
      <c r="I25" s="93">
        <v>2632.66</v>
      </c>
      <c r="J25" s="93">
        <v>3071.4</v>
      </c>
      <c r="K25" s="100">
        <v>145.35</v>
      </c>
      <c r="M25" s="100"/>
    </row>
    <row r="26" spans="2:13" ht="15">
      <c r="B26" s="73">
        <v>6224.68</v>
      </c>
      <c r="C26" s="73">
        <f t="shared" si="0"/>
        <v>7113.9</v>
      </c>
      <c r="D26" s="73">
        <v>253.54</v>
      </c>
      <c r="I26" s="93">
        <v>3071.41</v>
      </c>
      <c r="J26" s="93">
        <v>3510.15</v>
      </c>
      <c r="K26" s="100">
        <v>125.1</v>
      </c>
      <c r="M26" s="100"/>
    </row>
    <row r="27" spans="2:13" ht="15">
      <c r="B27" s="73">
        <v>7113.91</v>
      </c>
      <c r="C27" s="73">
        <f t="shared" si="0"/>
        <v>7382.33</v>
      </c>
      <c r="D27" s="73">
        <v>217.61</v>
      </c>
      <c r="I27" s="93">
        <v>3510.16</v>
      </c>
      <c r="J27" s="93">
        <v>3642.6</v>
      </c>
      <c r="K27" s="100">
        <v>107.4</v>
      </c>
      <c r="M27" s="100"/>
    </row>
    <row r="28" spans="2:13" ht="15">
      <c r="B28" s="73">
        <v>7382.34</v>
      </c>
      <c r="C28" s="73" t="s">
        <v>103</v>
      </c>
      <c r="D28" s="73">
        <v>0</v>
      </c>
      <c r="I28" s="93">
        <v>3642.61</v>
      </c>
      <c r="J28" s="100" t="s">
        <v>103</v>
      </c>
      <c r="K28" s="100">
        <v>0</v>
      </c>
      <c r="M28" s="90"/>
    </row>
    <row r="29" ht="15">
      <c r="E29" s="53"/>
    </row>
    <row r="30" ht="15">
      <c r="E30" s="53"/>
    </row>
    <row r="31" spans="5:8" ht="31.5">
      <c r="E31" s="53"/>
      <c r="F31" s="96" t="s">
        <v>123</v>
      </c>
      <c r="H31" s="53"/>
    </row>
    <row r="32" spans="1:17" ht="71.25" customHeight="1">
      <c r="A32" s="77" t="s">
        <v>106</v>
      </c>
      <c r="B32" s="78" t="s">
        <v>107</v>
      </c>
      <c r="C32" s="78" t="s">
        <v>118</v>
      </c>
      <c r="D32" s="78" t="s">
        <v>119</v>
      </c>
      <c r="E32" s="78" t="s">
        <v>108</v>
      </c>
      <c r="F32" s="78" t="s">
        <v>109</v>
      </c>
      <c r="G32" s="78" t="s">
        <v>110</v>
      </c>
      <c r="H32" s="78" t="s">
        <v>111</v>
      </c>
      <c r="I32" s="78" t="s">
        <v>99</v>
      </c>
      <c r="J32" s="78" t="s">
        <v>112</v>
      </c>
      <c r="K32" s="78" t="s">
        <v>113</v>
      </c>
      <c r="L32" s="78" t="s">
        <v>114</v>
      </c>
      <c r="M32" s="78" t="s">
        <v>101</v>
      </c>
      <c r="N32" s="78" t="s">
        <v>115</v>
      </c>
      <c r="O32" s="78" t="s">
        <v>116</v>
      </c>
      <c r="P32" s="78" t="s">
        <v>115</v>
      </c>
      <c r="Q32" s="78" t="s">
        <v>117</v>
      </c>
    </row>
    <row r="33" spans="1:17" ht="15">
      <c r="A33" s="79" t="s">
        <v>120</v>
      </c>
      <c r="B33" s="79"/>
      <c r="E33" s="80"/>
      <c r="F33" s="40"/>
      <c r="G33" s="23"/>
      <c r="H33" s="23"/>
      <c r="I33" s="23"/>
      <c r="J33" s="23"/>
      <c r="K33" s="81"/>
      <c r="L33" s="82"/>
      <c r="M33" s="82"/>
      <c r="N33" s="83"/>
      <c r="O33" s="23"/>
      <c r="P33" s="23"/>
      <c r="Q33" s="23"/>
    </row>
    <row r="34" spans="1:17" ht="15">
      <c r="A34" s="79" t="str">
        <f>'31 JULIO'!A7</f>
        <v>PENSIL</v>
      </c>
      <c r="B34" s="79" t="str">
        <f>'31 JULIO'!B7</f>
        <v>DANIEL CORTES PEREZ</v>
      </c>
      <c r="C34" s="40" t="e">
        <f>'15 DE SEPTIEMBRE'!O7</f>
        <v>#REF!</v>
      </c>
      <c r="D34" s="40"/>
      <c r="E34" s="80" t="e">
        <f>C34+D34</f>
        <v>#REF!</v>
      </c>
      <c r="F34" s="40">
        <v>0</v>
      </c>
      <c r="G34" s="80" t="e">
        <f>E34-F34</f>
        <v>#REF!</v>
      </c>
      <c r="H34" s="80" t="e">
        <f>G34</f>
        <v>#REF!</v>
      </c>
      <c r="I34" s="80" t="e">
        <f>IF(H34&gt;0,LOOKUP(H34,$H$3:$I$13,$H$3:$H$13),0)</f>
        <v>#REF!</v>
      </c>
      <c r="J34" s="80" t="e">
        <f>H34-I34</f>
        <v>#REF!</v>
      </c>
      <c r="K34" s="81" t="e">
        <f>IF(H34&gt;0,LOOKUP(H34,$H$3:$I$11,$K$3:$K$11),0)</f>
        <v>#REF!</v>
      </c>
      <c r="L34" s="97" t="e">
        <f>J34*K34</f>
        <v>#REF!</v>
      </c>
      <c r="M34" s="97" t="e">
        <f>IF(H34&gt;0,LOOKUP(H34,$H$3:$I$13,$J$3:$J$13),0)</f>
        <v>#REF!</v>
      </c>
      <c r="N34" s="98" t="e">
        <f>M34+L34</f>
        <v>#REF!</v>
      </c>
      <c r="O34" s="80" t="e">
        <f>IF(H34&gt;0,LOOKUP(H34,$I$18:$J$28,$K$18:$K$28),0)</f>
        <v>#REF!</v>
      </c>
      <c r="P34" s="80" t="e">
        <f>IF(N34&gt;O34,N34-O34,0)</f>
        <v>#REF!</v>
      </c>
      <c r="Q34" s="80" t="e">
        <f>IF(N34&lt;O34,N34-O34,0)</f>
        <v>#REF!</v>
      </c>
    </row>
    <row r="35" spans="1:17" ht="15">
      <c r="A35" s="79" t="str">
        <f>'31 JULIO'!A8</f>
        <v>PENSIL</v>
      </c>
      <c r="B35" s="79" t="str">
        <f>'31 JULIO'!B8</f>
        <v>FELIPE PEREZ HERNANDEZ</v>
      </c>
      <c r="C35" s="40" t="e">
        <f>'15 DE SEPTIEMBRE'!O8</f>
        <v>#REF!</v>
      </c>
      <c r="D35" s="40"/>
      <c r="E35" s="80" t="e">
        <f aca="true" t="shared" si="1" ref="E35:E41">C35+D35</f>
        <v>#REF!</v>
      </c>
      <c r="F35" s="40">
        <v>0</v>
      </c>
      <c r="G35" s="80" t="e">
        <f aca="true" t="shared" si="2" ref="G35:G41">E35-F35</f>
        <v>#REF!</v>
      </c>
      <c r="H35" s="80" t="e">
        <f aca="true" t="shared" si="3" ref="H35:H41">G35</f>
        <v>#REF!</v>
      </c>
      <c r="I35" s="80" t="e">
        <f aca="true" t="shared" si="4" ref="I35:I41">IF(H35&gt;0,LOOKUP(H35,$H$3:$I$13,$H$3:$H$13),0)</f>
        <v>#REF!</v>
      </c>
      <c r="J35" s="80" t="e">
        <f aca="true" t="shared" si="5" ref="J35:J41">H35-I35</f>
        <v>#REF!</v>
      </c>
      <c r="K35" s="81" t="e">
        <f aca="true" t="shared" si="6" ref="K35:K41">IF(H35&gt;0,LOOKUP(H35,$H$3:$I$11,$K$3:$K$11),0)</f>
        <v>#REF!</v>
      </c>
      <c r="L35" s="97" t="e">
        <f aca="true" t="shared" si="7" ref="L35:L41">J35*K35</f>
        <v>#REF!</v>
      </c>
      <c r="M35" s="97" t="e">
        <f aca="true" t="shared" si="8" ref="M35:M41">IF(H35&gt;0,LOOKUP(H35,$H$3:$I$13,$J$3:$J$13),0)</f>
        <v>#REF!</v>
      </c>
      <c r="N35" s="98" t="e">
        <f aca="true" t="shared" si="9" ref="N35:N41">M35+L35</f>
        <v>#REF!</v>
      </c>
      <c r="O35" s="80" t="e">
        <f aca="true" t="shared" si="10" ref="O35:O41">IF(H35&gt;0,LOOKUP(H35,$I$18:$J$28,$K$18:$K$28),0)</f>
        <v>#REF!</v>
      </c>
      <c r="P35" s="80" t="e">
        <f aca="true" t="shared" si="11" ref="P35:P41">IF(N35&gt;O35,N35-O35,0)</f>
        <v>#REF!</v>
      </c>
      <c r="Q35" s="80" t="e">
        <f aca="true" t="shared" si="12" ref="Q35:Q41">IF(N35&lt;O35,N35-O35,0)</f>
        <v>#REF!</v>
      </c>
    </row>
    <row r="36" spans="1:17" ht="15">
      <c r="A36" s="79" t="str">
        <f>'31 JULIO'!A9</f>
        <v>PENSIL</v>
      </c>
      <c r="B36" s="79" t="str">
        <f>'31 JULIO'!B9</f>
        <v>JOSE ALBERTO GONZALEZ PEREZ</v>
      </c>
      <c r="C36" s="40" t="e">
        <f>'15 DE SEPTIEMBRE'!O9</f>
        <v>#REF!</v>
      </c>
      <c r="D36" s="40"/>
      <c r="E36" s="80" t="e">
        <f t="shared" si="1"/>
        <v>#REF!</v>
      </c>
      <c r="F36" s="40">
        <v>0</v>
      </c>
      <c r="G36" s="80" t="e">
        <f t="shared" si="2"/>
        <v>#REF!</v>
      </c>
      <c r="H36" s="80" t="e">
        <f t="shared" si="3"/>
        <v>#REF!</v>
      </c>
      <c r="I36" s="80" t="e">
        <f t="shared" si="4"/>
        <v>#REF!</v>
      </c>
      <c r="J36" s="80" t="e">
        <f t="shared" si="5"/>
        <v>#REF!</v>
      </c>
      <c r="K36" s="81" t="e">
        <f t="shared" si="6"/>
        <v>#REF!</v>
      </c>
      <c r="L36" s="97" t="e">
        <f t="shared" si="7"/>
        <v>#REF!</v>
      </c>
      <c r="M36" s="97" t="e">
        <f t="shared" si="8"/>
        <v>#REF!</v>
      </c>
      <c r="N36" s="98" t="e">
        <f t="shared" si="9"/>
        <v>#REF!</v>
      </c>
      <c r="O36" s="80" t="e">
        <f t="shared" si="10"/>
        <v>#REF!</v>
      </c>
      <c r="P36" s="80" t="e">
        <f t="shared" si="11"/>
        <v>#REF!</v>
      </c>
      <c r="Q36" s="80" t="e">
        <f t="shared" si="12"/>
        <v>#REF!</v>
      </c>
    </row>
    <row r="37" spans="1:17" ht="15">
      <c r="A37" s="79" t="str">
        <f>'31 JULIO'!A10</f>
        <v>PENSIL</v>
      </c>
      <c r="B37" s="79" t="str">
        <f>'31 JULIO'!B10</f>
        <v>LUIS MIGUEL LOPEZ ESCOBEDO</v>
      </c>
      <c r="C37" s="40" t="e">
        <f>'15 DE SEPTIEMBRE'!O10</f>
        <v>#REF!</v>
      </c>
      <c r="D37" s="40"/>
      <c r="E37" s="80" t="e">
        <f t="shared" si="1"/>
        <v>#REF!</v>
      </c>
      <c r="F37" s="40">
        <v>0</v>
      </c>
      <c r="G37" s="80" t="e">
        <f t="shared" si="2"/>
        <v>#REF!</v>
      </c>
      <c r="H37" s="80" t="e">
        <f t="shared" si="3"/>
        <v>#REF!</v>
      </c>
      <c r="I37" s="80" t="e">
        <f t="shared" si="4"/>
        <v>#REF!</v>
      </c>
      <c r="J37" s="80" t="e">
        <f t="shared" si="5"/>
        <v>#REF!</v>
      </c>
      <c r="K37" s="81" t="e">
        <f t="shared" si="6"/>
        <v>#REF!</v>
      </c>
      <c r="L37" s="97" t="e">
        <f t="shared" si="7"/>
        <v>#REF!</v>
      </c>
      <c r="M37" s="97" t="e">
        <f t="shared" si="8"/>
        <v>#REF!</v>
      </c>
      <c r="N37" s="98" t="e">
        <f t="shared" si="9"/>
        <v>#REF!</v>
      </c>
      <c r="O37" s="80" t="e">
        <f t="shared" si="10"/>
        <v>#REF!</v>
      </c>
      <c r="P37" s="80" t="e">
        <f t="shared" si="11"/>
        <v>#REF!</v>
      </c>
      <c r="Q37" s="80" t="e">
        <f t="shared" si="12"/>
        <v>#REF!</v>
      </c>
    </row>
    <row r="38" spans="1:17" ht="15">
      <c r="A38" s="79" t="str">
        <f>'31 JULIO'!A11</f>
        <v>PENSIL</v>
      </c>
      <c r="B38" s="79" t="str">
        <f>'31 JULIO'!B11</f>
        <v>JORGE LUIS VELAZQUEZ LOPEZ</v>
      </c>
      <c r="C38" s="40" t="e">
        <f>'15 DE SEPTIEMBRE'!O11</f>
        <v>#REF!</v>
      </c>
      <c r="D38" s="40"/>
      <c r="E38" s="80" t="e">
        <f t="shared" si="1"/>
        <v>#REF!</v>
      </c>
      <c r="F38" s="40">
        <v>0</v>
      </c>
      <c r="G38" s="80" t="e">
        <f t="shared" si="2"/>
        <v>#REF!</v>
      </c>
      <c r="H38" s="80" t="e">
        <f t="shared" si="3"/>
        <v>#REF!</v>
      </c>
      <c r="I38" s="80" t="e">
        <f t="shared" si="4"/>
        <v>#REF!</v>
      </c>
      <c r="J38" s="80" t="e">
        <f t="shared" si="5"/>
        <v>#REF!</v>
      </c>
      <c r="K38" s="81" t="e">
        <f t="shared" si="6"/>
        <v>#REF!</v>
      </c>
      <c r="L38" s="97" t="e">
        <f t="shared" si="7"/>
        <v>#REF!</v>
      </c>
      <c r="M38" s="97" t="e">
        <f t="shared" si="8"/>
        <v>#REF!</v>
      </c>
      <c r="N38" s="98" t="e">
        <f t="shared" si="9"/>
        <v>#REF!</v>
      </c>
      <c r="O38" s="80" t="e">
        <f t="shared" si="10"/>
        <v>#REF!</v>
      </c>
      <c r="P38" s="80" t="e">
        <f t="shared" si="11"/>
        <v>#REF!</v>
      </c>
      <c r="Q38" s="80" t="e">
        <f t="shared" si="12"/>
        <v>#REF!</v>
      </c>
    </row>
    <row r="39" spans="1:17" ht="15">
      <c r="A39" s="79" t="str">
        <f>'31 JULIO'!A12</f>
        <v>PENSIL</v>
      </c>
      <c r="B39" s="79" t="str">
        <f>'31 JULIO'!B12</f>
        <v>LEIBER ARMANDO HERNANDEZ SHILON</v>
      </c>
      <c r="C39" s="40" t="e">
        <f>'15 DE SEPTIEMBRE'!O12</f>
        <v>#REF!</v>
      </c>
      <c r="D39" s="40"/>
      <c r="E39" s="80" t="e">
        <f t="shared" si="1"/>
        <v>#REF!</v>
      </c>
      <c r="F39" s="40">
        <v>0</v>
      </c>
      <c r="G39" s="80" t="e">
        <f t="shared" si="2"/>
        <v>#REF!</v>
      </c>
      <c r="H39" s="80" t="e">
        <f t="shared" si="3"/>
        <v>#REF!</v>
      </c>
      <c r="I39" s="80" t="e">
        <f t="shared" si="4"/>
        <v>#REF!</v>
      </c>
      <c r="J39" s="80" t="e">
        <f t="shared" si="5"/>
        <v>#REF!</v>
      </c>
      <c r="K39" s="81" t="e">
        <f t="shared" si="6"/>
        <v>#REF!</v>
      </c>
      <c r="L39" s="97" t="e">
        <f t="shared" si="7"/>
        <v>#REF!</v>
      </c>
      <c r="M39" s="97" t="e">
        <f t="shared" si="8"/>
        <v>#REF!</v>
      </c>
      <c r="N39" s="98" t="e">
        <f t="shared" si="9"/>
        <v>#REF!</v>
      </c>
      <c r="O39" s="80" t="e">
        <f t="shared" si="10"/>
        <v>#REF!</v>
      </c>
      <c r="P39" s="80" t="e">
        <f t="shared" si="11"/>
        <v>#REF!</v>
      </c>
      <c r="Q39" s="80" t="e">
        <f t="shared" si="12"/>
        <v>#REF!</v>
      </c>
    </row>
    <row r="40" spans="1:17" ht="15">
      <c r="A40" s="79" t="str">
        <f>'31 JULIO'!A13</f>
        <v>PENSIL</v>
      </c>
      <c r="B40" s="79" t="str">
        <f>'31 JULIO'!B13</f>
        <v>CARLOS MAGNO SÁNCHEZ LÓPEZ </v>
      </c>
      <c r="C40" s="40">
        <f>'15 DE SEPTIEMBRE'!O13</f>
        <v>1492.07875</v>
      </c>
      <c r="D40" s="40"/>
      <c r="E40" s="80">
        <f t="shared" si="1"/>
        <v>1492.07875</v>
      </c>
      <c r="F40" s="40">
        <v>0</v>
      </c>
      <c r="G40" s="80">
        <f t="shared" si="2"/>
        <v>1492.07875</v>
      </c>
      <c r="H40" s="80">
        <f t="shared" si="3"/>
        <v>1492.07875</v>
      </c>
      <c r="I40" s="80">
        <f t="shared" si="4"/>
        <v>244.81</v>
      </c>
      <c r="J40" s="80">
        <f t="shared" si="5"/>
        <v>1247.26875</v>
      </c>
      <c r="K40" s="81">
        <f t="shared" si="6"/>
        <v>0.064</v>
      </c>
      <c r="L40" s="97">
        <f t="shared" si="7"/>
        <v>79.8252</v>
      </c>
      <c r="M40" s="97">
        <f t="shared" si="8"/>
        <v>4.65</v>
      </c>
      <c r="N40" s="98">
        <f t="shared" si="9"/>
        <v>84.4752</v>
      </c>
      <c r="O40" s="80">
        <f t="shared" si="10"/>
        <v>200.7</v>
      </c>
      <c r="P40" s="80">
        <f t="shared" si="11"/>
        <v>0</v>
      </c>
      <c r="Q40" s="80">
        <f t="shared" si="12"/>
        <v>-116.22479999999999</v>
      </c>
    </row>
    <row r="41" spans="1:17" ht="15">
      <c r="A41" s="79" t="str">
        <f>'31 JULIO'!A14</f>
        <v>PENSIL</v>
      </c>
      <c r="B41" s="79" t="str">
        <f>'31 JULIO'!B14</f>
        <v>ROSARIO DEL CARMEN SOLIS LOPEZ</v>
      </c>
      <c r="C41" s="40" t="e">
        <f>'15 DE SEPTIEMBRE'!O14</f>
        <v>#REF!</v>
      </c>
      <c r="D41" s="40"/>
      <c r="E41" s="80" t="e">
        <f t="shared" si="1"/>
        <v>#REF!</v>
      </c>
      <c r="F41" s="40">
        <v>0</v>
      </c>
      <c r="G41" s="80" t="e">
        <f t="shared" si="2"/>
        <v>#REF!</v>
      </c>
      <c r="H41" s="80" t="e">
        <f t="shared" si="3"/>
        <v>#REF!</v>
      </c>
      <c r="I41" s="80" t="e">
        <f t="shared" si="4"/>
        <v>#REF!</v>
      </c>
      <c r="J41" s="80" t="e">
        <f t="shared" si="5"/>
        <v>#REF!</v>
      </c>
      <c r="K41" s="81" t="e">
        <f t="shared" si="6"/>
        <v>#REF!</v>
      </c>
      <c r="L41" s="97" t="e">
        <f t="shared" si="7"/>
        <v>#REF!</v>
      </c>
      <c r="M41" s="97" t="e">
        <f t="shared" si="8"/>
        <v>#REF!</v>
      </c>
      <c r="N41" s="98" t="e">
        <f t="shared" si="9"/>
        <v>#REF!</v>
      </c>
      <c r="O41" s="80" t="e">
        <f t="shared" si="10"/>
        <v>#REF!</v>
      </c>
      <c r="P41" s="80" t="e">
        <f t="shared" si="11"/>
        <v>#REF!</v>
      </c>
      <c r="Q41" s="80" t="e">
        <f t="shared" si="12"/>
        <v>#REF!</v>
      </c>
    </row>
    <row r="42" spans="1:16" ht="15">
      <c r="A42" s="79"/>
      <c r="B42" s="79"/>
      <c r="C42" s="85"/>
      <c r="D42" s="86"/>
      <c r="E42" s="75"/>
      <c r="F42" s="75"/>
      <c r="G42" s="75"/>
      <c r="H42" s="75"/>
      <c r="I42" s="84"/>
      <c r="J42" s="75"/>
      <c r="K42" s="75"/>
      <c r="L42" s="75"/>
      <c r="M42" s="75"/>
      <c r="N42" s="75"/>
      <c r="O42" s="75"/>
      <c r="P42" s="53"/>
    </row>
    <row r="43" spans="1:16" ht="15">
      <c r="A43" s="79"/>
      <c r="B43" s="79"/>
      <c r="C43" s="85"/>
      <c r="D43" s="86"/>
      <c r="E43" s="75"/>
      <c r="F43" s="75"/>
      <c r="G43" s="75"/>
      <c r="H43" s="75"/>
      <c r="I43" s="84"/>
      <c r="J43" s="75"/>
      <c r="K43" s="75"/>
      <c r="L43" s="75"/>
      <c r="M43" s="75"/>
      <c r="N43" s="75"/>
      <c r="O43" s="75"/>
      <c r="P43" s="53"/>
    </row>
    <row r="44" spans="1:16" ht="31.5">
      <c r="A44" s="79"/>
      <c r="B44" s="79"/>
      <c r="C44" s="85"/>
      <c r="D44" s="86"/>
      <c r="E44" s="75"/>
      <c r="F44" s="96" t="s">
        <v>90</v>
      </c>
      <c r="G44" s="75"/>
      <c r="H44" s="75"/>
      <c r="I44" s="84"/>
      <c r="J44" s="75"/>
      <c r="K44" s="75"/>
      <c r="L44" s="75"/>
      <c r="M44" s="75"/>
      <c r="N44" s="75"/>
      <c r="O44" s="75"/>
      <c r="P44" s="53"/>
    </row>
    <row r="45" spans="1:17" ht="15">
      <c r="A45" s="79" t="s">
        <v>106</v>
      </c>
      <c r="B45" s="79" t="s">
        <v>107</v>
      </c>
      <c r="C45" s="85" t="s">
        <v>118</v>
      </c>
      <c r="D45" s="86" t="s">
        <v>119</v>
      </c>
      <c r="E45" s="75" t="s">
        <v>108</v>
      </c>
      <c r="F45" s="75" t="s">
        <v>109</v>
      </c>
      <c r="G45" s="75" t="s">
        <v>110</v>
      </c>
      <c r="H45" s="75" t="s">
        <v>111</v>
      </c>
      <c r="I45" s="84" t="s">
        <v>99</v>
      </c>
      <c r="J45" s="75" t="s">
        <v>112</v>
      </c>
      <c r="K45" s="75" t="s">
        <v>113</v>
      </c>
      <c r="L45" s="75" t="s">
        <v>114</v>
      </c>
      <c r="M45" s="75" t="s">
        <v>101</v>
      </c>
      <c r="N45" s="75" t="s">
        <v>115</v>
      </c>
      <c r="O45" s="75" t="s">
        <v>116</v>
      </c>
      <c r="P45" s="53" t="s">
        <v>115</v>
      </c>
      <c r="Q45" t="s">
        <v>117</v>
      </c>
    </row>
    <row r="46" spans="1:16" ht="15">
      <c r="A46" s="79" t="s">
        <v>120</v>
      </c>
      <c r="B46" s="79"/>
      <c r="C46" s="75"/>
      <c r="D46" s="75"/>
      <c r="E46" s="75"/>
      <c r="F46" s="75"/>
      <c r="G46" s="75"/>
      <c r="H46" s="75"/>
      <c r="I46" s="84"/>
      <c r="J46" s="75"/>
      <c r="K46" s="75"/>
      <c r="L46" s="75"/>
      <c r="M46" s="75"/>
      <c r="N46" s="75"/>
      <c r="O46" s="75"/>
      <c r="P46" s="53"/>
    </row>
    <row r="47" spans="1:17" ht="15">
      <c r="A47" s="79" t="s">
        <v>57</v>
      </c>
      <c r="B47" s="79" t="s">
        <v>58</v>
      </c>
      <c r="C47" s="85" t="e">
        <f aca="true" t="shared" si="13" ref="C47:C54">C34</f>
        <v>#REF!</v>
      </c>
      <c r="D47" s="86" t="e">
        <f>'30 DE SEPTIEMBRE '!O7</f>
        <v>#REF!</v>
      </c>
      <c r="E47" s="85" t="e">
        <f>C47+D47</f>
        <v>#REF!</v>
      </c>
      <c r="F47" s="75">
        <v>0</v>
      </c>
      <c r="G47" s="85" t="e">
        <f>E47</f>
        <v>#REF!</v>
      </c>
      <c r="H47" s="85" t="e">
        <f>G47</f>
        <v>#REF!</v>
      </c>
      <c r="I47" s="80" t="e">
        <f>IF(H47&gt;0,LOOKUP(H47,$B$3:$C$13,$B$3:$B$13),0)</f>
        <v>#REF!</v>
      </c>
      <c r="J47" s="80" t="e">
        <f>H47-I47</f>
        <v>#REF!</v>
      </c>
      <c r="K47" s="81" t="e">
        <f>IF(H47&gt;0,LOOKUP(H47,$B$3:$C$11,$E$3:$E$11),0)</f>
        <v>#REF!</v>
      </c>
      <c r="L47" s="97" t="e">
        <f>J47*K47</f>
        <v>#REF!</v>
      </c>
      <c r="M47" s="97" t="e">
        <f>IF(H47&gt;0,LOOKUP(H47,$B$3:$C$13,$D$3:$D$13),0)</f>
        <v>#REF!</v>
      </c>
      <c r="N47" s="98" t="e">
        <f>M47+L47</f>
        <v>#REF!</v>
      </c>
      <c r="O47" s="80" t="e">
        <f>IF(H47&gt;0,LOOKUP(H47,$B$18:$C$28,$D$18:$D$28),0)</f>
        <v>#REF!</v>
      </c>
      <c r="P47" s="80" t="e">
        <f>IF(N47&gt;O47,N47-O47,0)</f>
        <v>#REF!</v>
      </c>
      <c r="Q47" s="80" t="e">
        <f>IF(N47&lt;O47,N47-O47,0)</f>
        <v>#REF!</v>
      </c>
    </row>
    <row r="48" spans="1:17" ht="15">
      <c r="A48" s="79" t="s">
        <v>57</v>
      </c>
      <c r="B48" s="79" t="s">
        <v>67</v>
      </c>
      <c r="C48" s="85" t="e">
        <f t="shared" si="13"/>
        <v>#REF!</v>
      </c>
      <c r="D48" s="86" t="e">
        <f>'30 DE SEPTIEMBRE '!O8</f>
        <v>#REF!</v>
      </c>
      <c r="E48" s="85" t="e">
        <f aca="true" t="shared" si="14" ref="E48:E54">C48+D48</f>
        <v>#REF!</v>
      </c>
      <c r="F48" s="75">
        <v>0</v>
      </c>
      <c r="G48" s="85" t="e">
        <f aca="true" t="shared" si="15" ref="G48:G54">E48</f>
        <v>#REF!</v>
      </c>
      <c r="H48" s="85" t="e">
        <f aca="true" t="shared" si="16" ref="H48:H54">G48</f>
        <v>#REF!</v>
      </c>
      <c r="I48" s="80" t="e">
        <f aca="true" t="shared" si="17" ref="I48:I54">IF(H48&gt;0,LOOKUP(H48,$B$3:$C$13,$B$3:$B$13),0)</f>
        <v>#REF!</v>
      </c>
      <c r="J48" s="80" t="e">
        <f aca="true" t="shared" si="18" ref="J48:J54">H48-I48</f>
        <v>#REF!</v>
      </c>
      <c r="K48" s="81" t="e">
        <f aca="true" t="shared" si="19" ref="K48:K54">IF(H48&gt;0,LOOKUP(H48,$B$3:$C$11,$E$3:$E$11),0)</f>
        <v>#REF!</v>
      </c>
      <c r="L48" s="97" t="e">
        <f aca="true" t="shared" si="20" ref="L48:L54">J48*K48</f>
        <v>#REF!</v>
      </c>
      <c r="M48" s="97" t="e">
        <f aca="true" t="shared" si="21" ref="M48:M54">IF(H48&gt;0,LOOKUP(H48,$B$3:$C$13,$D$3:$D$13),0)</f>
        <v>#REF!</v>
      </c>
      <c r="N48" s="98" t="e">
        <f aca="true" t="shared" si="22" ref="N48:N54">M48+L48</f>
        <v>#REF!</v>
      </c>
      <c r="O48" s="80" t="e">
        <f aca="true" t="shared" si="23" ref="O48:O54">IF(H48&gt;0,LOOKUP(H48,$B$18:$C$28,$D$18:$D$28),0)</f>
        <v>#REF!</v>
      </c>
      <c r="P48" s="80" t="e">
        <f aca="true" t="shared" si="24" ref="P48:P54">IF(N48&gt;O48,N48-O48,0)</f>
        <v>#REF!</v>
      </c>
      <c r="Q48" s="80" t="e">
        <f aca="true" t="shared" si="25" ref="Q48:Q54">IF(N48&lt;O48,N48-O48,0)</f>
        <v>#REF!</v>
      </c>
    </row>
    <row r="49" spans="1:17" ht="15">
      <c r="A49" s="79" t="s">
        <v>57</v>
      </c>
      <c r="B49" s="79" t="s">
        <v>68</v>
      </c>
      <c r="C49" s="85" t="e">
        <f t="shared" si="13"/>
        <v>#REF!</v>
      </c>
      <c r="D49" s="86" t="e">
        <f>'30 DE SEPTIEMBRE '!O9</f>
        <v>#REF!</v>
      </c>
      <c r="E49" s="85" t="e">
        <f t="shared" si="14"/>
        <v>#REF!</v>
      </c>
      <c r="F49" s="75">
        <v>0</v>
      </c>
      <c r="G49" s="85" t="e">
        <f t="shared" si="15"/>
        <v>#REF!</v>
      </c>
      <c r="H49" s="85" t="e">
        <f t="shared" si="16"/>
        <v>#REF!</v>
      </c>
      <c r="I49" s="80" t="e">
        <f t="shared" si="17"/>
        <v>#REF!</v>
      </c>
      <c r="J49" s="80" t="e">
        <f t="shared" si="18"/>
        <v>#REF!</v>
      </c>
      <c r="K49" s="81" t="e">
        <f t="shared" si="19"/>
        <v>#REF!</v>
      </c>
      <c r="L49" s="97" t="e">
        <f t="shared" si="20"/>
        <v>#REF!</v>
      </c>
      <c r="M49" s="97" t="e">
        <f t="shared" si="21"/>
        <v>#REF!</v>
      </c>
      <c r="N49" s="98" t="e">
        <f t="shared" si="22"/>
        <v>#REF!</v>
      </c>
      <c r="O49" s="80" t="e">
        <f t="shared" si="23"/>
        <v>#REF!</v>
      </c>
      <c r="P49" s="80" t="e">
        <f t="shared" si="24"/>
        <v>#REF!</v>
      </c>
      <c r="Q49" s="80" t="e">
        <f t="shared" si="25"/>
        <v>#REF!</v>
      </c>
    </row>
    <row r="50" spans="1:17" ht="15">
      <c r="A50" s="79" t="s">
        <v>57</v>
      </c>
      <c r="B50" s="79" t="s">
        <v>69</v>
      </c>
      <c r="C50" s="85" t="e">
        <f t="shared" si="13"/>
        <v>#REF!</v>
      </c>
      <c r="D50" s="86" t="e">
        <f>'30 DE SEPTIEMBRE '!O10</f>
        <v>#REF!</v>
      </c>
      <c r="E50" s="85" t="e">
        <f t="shared" si="14"/>
        <v>#REF!</v>
      </c>
      <c r="F50" s="75">
        <v>0</v>
      </c>
      <c r="G50" s="85" t="e">
        <f t="shared" si="15"/>
        <v>#REF!</v>
      </c>
      <c r="H50" s="85" t="e">
        <f t="shared" si="16"/>
        <v>#REF!</v>
      </c>
      <c r="I50" s="80" t="e">
        <f t="shared" si="17"/>
        <v>#REF!</v>
      </c>
      <c r="J50" s="80" t="e">
        <f t="shared" si="18"/>
        <v>#REF!</v>
      </c>
      <c r="K50" s="81" t="e">
        <f t="shared" si="19"/>
        <v>#REF!</v>
      </c>
      <c r="L50" s="97" t="e">
        <f t="shared" si="20"/>
        <v>#REF!</v>
      </c>
      <c r="M50" s="97" t="e">
        <f t="shared" si="21"/>
        <v>#REF!</v>
      </c>
      <c r="N50" s="98" t="e">
        <f t="shared" si="22"/>
        <v>#REF!</v>
      </c>
      <c r="O50" s="80" t="e">
        <f t="shared" si="23"/>
        <v>#REF!</v>
      </c>
      <c r="P50" s="80" t="e">
        <f t="shared" si="24"/>
        <v>#REF!</v>
      </c>
      <c r="Q50" s="80" t="e">
        <f t="shared" si="25"/>
        <v>#REF!</v>
      </c>
    </row>
    <row r="51" spans="1:17" ht="15">
      <c r="A51" s="79" t="s">
        <v>57</v>
      </c>
      <c r="B51" s="79" t="s">
        <v>81</v>
      </c>
      <c r="C51" s="85" t="e">
        <f t="shared" si="13"/>
        <v>#REF!</v>
      </c>
      <c r="D51" s="86" t="e">
        <f>'30 DE SEPTIEMBRE '!O11</f>
        <v>#REF!</v>
      </c>
      <c r="E51" s="85" t="e">
        <f t="shared" si="14"/>
        <v>#REF!</v>
      </c>
      <c r="F51" s="75">
        <v>0</v>
      </c>
      <c r="G51" s="85" t="e">
        <f t="shared" si="15"/>
        <v>#REF!</v>
      </c>
      <c r="H51" s="85" t="e">
        <f t="shared" si="16"/>
        <v>#REF!</v>
      </c>
      <c r="I51" s="80" t="e">
        <f t="shared" si="17"/>
        <v>#REF!</v>
      </c>
      <c r="J51" s="80" t="e">
        <f t="shared" si="18"/>
        <v>#REF!</v>
      </c>
      <c r="K51" s="81" t="e">
        <f t="shared" si="19"/>
        <v>#REF!</v>
      </c>
      <c r="L51" s="97" t="e">
        <f t="shared" si="20"/>
        <v>#REF!</v>
      </c>
      <c r="M51" s="97" t="e">
        <f t="shared" si="21"/>
        <v>#REF!</v>
      </c>
      <c r="N51" s="98" t="e">
        <f t="shared" si="22"/>
        <v>#REF!</v>
      </c>
      <c r="O51" s="80" t="e">
        <f t="shared" si="23"/>
        <v>#REF!</v>
      </c>
      <c r="P51" s="80" t="e">
        <f t="shared" si="24"/>
        <v>#REF!</v>
      </c>
      <c r="Q51" s="80" t="e">
        <f t="shared" si="25"/>
        <v>#REF!</v>
      </c>
    </row>
    <row r="52" spans="1:17" ht="15">
      <c r="A52" s="79" t="s">
        <v>57</v>
      </c>
      <c r="B52" s="79" t="s">
        <v>84</v>
      </c>
      <c r="C52" s="85" t="e">
        <f t="shared" si="13"/>
        <v>#REF!</v>
      </c>
      <c r="D52" s="86" t="e">
        <f>'30 DE SEPTIEMBRE '!O12</f>
        <v>#REF!</v>
      </c>
      <c r="E52" s="85" t="e">
        <f t="shared" si="14"/>
        <v>#REF!</v>
      </c>
      <c r="F52" s="75">
        <v>0</v>
      </c>
      <c r="G52" s="85" t="e">
        <f t="shared" si="15"/>
        <v>#REF!</v>
      </c>
      <c r="H52" s="85" t="e">
        <f t="shared" si="16"/>
        <v>#REF!</v>
      </c>
      <c r="I52" s="80" t="e">
        <f t="shared" si="17"/>
        <v>#REF!</v>
      </c>
      <c r="J52" s="80" t="e">
        <f t="shared" si="18"/>
        <v>#REF!</v>
      </c>
      <c r="K52" s="81" t="e">
        <f t="shared" si="19"/>
        <v>#REF!</v>
      </c>
      <c r="L52" s="97" t="e">
        <f t="shared" si="20"/>
        <v>#REF!</v>
      </c>
      <c r="M52" s="97" t="e">
        <f t="shared" si="21"/>
        <v>#REF!</v>
      </c>
      <c r="N52" s="98" t="e">
        <f t="shared" si="22"/>
        <v>#REF!</v>
      </c>
      <c r="O52" s="80" t="e">
        <f t="shared" si="23"/>
        <v>#REF!</v>
      </c>
      <c r="P52" s="80" t="e">
        <f t="shared" si="24"/>
        <v>#REF!</v>
      </c>
      <c r="Q52" s="80" t="e">
        <f t="shared" si="25"/>
        <v>#REF!</v>
      </c>
    </row>
    <row r="53" spans="1:17" ht="15">
      <c r="A53" s="79" t="s">
        <v>57</v>
      </c>
      <c r="B53" s="79" t="s">
        <v>92</v>
      </c>
      <c r="C53" s="85">
        <f t="shared" si="13"/>
        <v>1492.07875</v>
      </c>
      <c r="D53" s="86">
        <f>'30 DE SEPTIEMBRE '!O13</f>
        <v>1754.0425</v>
      </c>
      <c r="E53" s="85">
        <f t="shared" si="14"/>
        <v>3246.12125</v>
      </c>
      <c r="F53" s="75">
        <v>0</v>
      </c>
      <c r="G53" s="85">
        <f t="shared" si="15"/>
        <v>3246.12125</v>
      </c>
      <c r="H53" s="85">
        <f t="shared" si="16"/>
        <v>3246.12125</v>
      </c>
      <c r="I53" s="80">
        <f t="shared" si="17"/>
        <v>496.08</v>
      </c>
      <c r="J53" s="80">
        <f t="shared" si="18"/>
        <v>2750.04125</v>
      </c>
      <c r="K53" s="81">
        <f t="shared" si="19"/>
        <v>0.064</v>
      </c>
      <c r="L53" s="97">
        <f t="shared" si="20"/>
        <v>176.00264</v>
      </c>
      <c r="M53" s="97">
        <f t="shared" si="21"/>
        <v>9.52</v>
      </c>
      <c r="N53" s="98">
        <f t="shared" si="22"/>
        <v>185.52264000000002</v>
      </c>
      <c r="O53" s="80">
        <f t="shared" si="23"/>
        <v>406.62</v>
      </c>
      <c r="P53" s="80">
        <f t="shared" si="24"/>
        <v>0</v>
      </c>
      <c r="Q53" s="80">
        <f t="shared" si="25"/>
        <v>-221.09735999999998</v>
      </c>
    </row>
    <row r="54" spans="1:17" ht="15">
      <c r="A54" s="79" t="s">
        <v>57</v>
      </c>
      <c r="B54" s="79" t="s">
        <v>87</v>
      </c>
      <c r="C54" s="85" t="e">
        <f t="shared" si="13"/>
        <v>#REF!</v>
      </c>
      <c r="D54" s="86" t="e">
        <f>'30 DE SEPTIEMBRE '!O14</f>
        <v>#REF!</v>
      </c>
      <c r="E54" s="85" t="e">
        <f t="shared" si="14"/>
        <v>#REF!</v>
      </c>
      <c r="F54" s="75">
        <v>0</v>
      </c>
      <c r="G54" s="85" t="e">
        <f t="shared" si="15"/>
        <v>#REF!</v>
      </c>
      <c r="H54" s="85" t="e">
        <f t="shared" si="16"/>
        <v>#REF!</v>
      </c>
      <c r="I54" s="80" t="e">
        <f t="shared" si="17"/>
        <v>#REF!</v>
      </c>
      <c r="J54" s="80" t="e">
        <f t="shared" si="18"/>
        <v>#REF!</v>
      </c>
      <c r="K54" s="81" t="e">
        <f t="shared" si="19"/>
        <v>#REF!</v>
      </c>
      <c r="L54" s="97" t="e">
        <f t="shared" si="20"/>
        <v>#REF!</v>
      </c>
      <c r="M54" s="97" t="e">
        <f t="shared" si="21"/>
        <v>#REF!</v>
      </c>
      <c r="N54" s="98" t="e">
        <f t="shared" si="22"/>
        <v>#REF!</v>
      </c>
      <c r="O54" s="80" t="e">
        <f t="shared" si="23"/>
        <v>#REF!</v>
      </c>
      <c r="P54" s="80" t="e">
        <f t="shared" si="24"/>
        <v>#REF!</v>
      </c>
      <c r="Q54" s="80" t="e">
        <f t="shared" si="25"/>
        <v>#REF!</v>
      </c>
    </row>
    <row r="55" spans="1:16" ht="15">
      <c r="A55" s="79"/>
      <c r="B55" s="79"/>
      <c r="C55" s="85"/>
      <c r="D55" s="86"/>
      <c r="E55" s="75"/>
      <c r="F55" s="75"/>
      <c r="G55" s="75"/>
      <c r="H55" s="75"/>
      <c r="I55" s="84"/>
      <c r="J55" s="75"/>
      <c r="K55" s="75"/>
      <c r="L55" s="75"/>
      <c r="M55" s="75"/>
      <c r="N55" s="75"/>
      <c r="O55" s="75"/>
      <c r="P55" s="53"/>
    </row>
    <row r="56" spans="1:16" ht="15">
      <c r="A56" s="79"/>
      <c r="B56" s="79"/>
      <c r="C56" s="85"/>
      <c r="D56" s="86"/>
      <c r="E56" s="75"/>
      <c r="F56" s="75"/>
      <c r="G56" s="75"/>
      <c r="H56" s="75"/>
      <c r="I56" s="84"/>
      <c r="J56" s="75"/>
      <c r="K56" s="75"/>
      <c r="L56" s="75"/>
      <c r="M56" s="75"/>
      <c r="N56" s="75"/>
      <c r="O56" s="75"/>
      <c r="P56" s="53"/>
    </row>
    <row r="57" spans="1:16" ht="15">
      <c r="A57" s="79"/>
      <c r="B57" s="79"/>
      <c r="C57" s="85"/>
      <c r="D57" s="86"/>
      <c r="E57" s="75"/>
      <c r="F57" s="75"/>
      <c r="G57" s="75"/>
      <c r="H57" s="75"/>
      <c r="I57" s="84"/>
      <c r="J57" s="75"/>
      <c r="K57" s="75"/>
      <c r="L57" s="75"/>
      <c r="M57" s="75"/>
      <c r="N57" s="75"/>
      <c r="O57" s="75"/>
      <c r="P57" s="53"/>
    </row>
    <row r="58" spans="1:16" ht="15">
      <c r="A58" s="79"/>
      <c r="B58" s="79"/>
      <c r="C58" s="85"/>
      <c r="D58" s="86"/>
      <c r="E58" s="75"/>
      <c r="F58" s="75"/>
      <c r="G58" s="75"/>
      <c r="H58" s="75"/>
      <c r="I58" s="84"/>
      <c r="J58" s="75"/>
      <c r="K58" s="75"/>
      <c r="L58" s="75"/>
      <c r="M58" s="75"/>
      <c r="N58" s="75"/>
      <c r="O58" s="75"/>
      <c r="P58" s="53"/>
    </row>
    <row r="59" spans="1:16" ht="15">
      <c r="A59" s="79"/>
      <c r="B59" s="79"/>
      <c r="C59" s="85"/>
      <c r="D59" s="86"/>
      <c r="E59" s="75"/>
      <c r="F59" s="75"/>
      <c r="G59" s="75"/>
      <c r="H59" s="75"/>
      <c r="I59" s="84"/>
      <c r="J59" s="75"/>
      <c r="K59" s="75"/>
      <c r="L59" s="75"/>
      <c r="M59" s="75"/>
      <c r="N59" s="75"/>
      <c r="O59" s="75"/>
      <c r="P59" s="53"/>
    </row>
    <row r="60" spans="1:16" ht="15">
      <c r="A60" s="79"/>
      <c r="B60" s="79"/>
      <c r="C60" s="85"/>
      <c r="D60" s="86"/>
      <c r="E60" s="75"/>
      <c r="F60" s="75"/>
      <c r="G60" s="75"/>
      <c r="H60" s="75"/>
      <c r="I60" s="84"/>
      <c r="J60" s="75"/>
      <c r="K60" s="75"/>
      <c r="L60" s="75"/>
      <c r="M60" s="75"/>
      <c r="N60" s="75"/>
      <c r="O60" s="75"/>
      <c r="P60" s="53"/>
    </row>
    <row r="61" spans="1:16" ht="15">
      <c r="A61" s="79"/>
      <c r="B61" s="79"/>
      <c r="C61" s="85"/>
      <c r="D61" s="86"/>
      <c r="E61" s="75"/>
      <c r="F61" s="75"/>
      <c r="G61" s="75"/>
      <c r="H61" s="75"/>
      <c r="I61" s="84"/>
      <c r="J61" s="75"/>
      <c r="K61" s="75"/>
      <c r="L61" s="75"/>
      <c r="M61" s="75"/>
      <c r="N61" s="75"/>
      <c r="O61" s="75"/>
      <c r="P61" s="53"/>
    </row>
    <row r="62" spans="1:16" ht="15">
      <c r="A62" s="79"/>
      <c r="B62" s="79"/>
      <c r="C62" s="85"/>
      <c r="D62" s="86"/>
      <c r="E62" s="75"/>
      <c r="F62" s="75"/>
      <c r="G62" s="75"/>
      <c r="H62" s="75"/>
      <c r="I62" s="84"/>
      <c r="J62" s="75"/>
      <c r="K62" s="75"/>
      <c r="L62" s="75"/>
      <c r="M62" s="75"/>
      <c r="N62" s="75"/>
      <c r="O62" s="75"/>
      <c r="P62" s="53"/>
    </row>
    <row r="63" spans="1:16" ht="15">
      <c r="A63" s="79"/>
      <c r="B63" s="79"/>
      <c r="C63" s="85"/>
      <c r="D63" s="86"/>
      <c r="E63" s="75"/>
      <c r="F63" s="75"/>
      <c r="G63" s="75"/>
      <c r="H63" s="75"/>
      <c r="I63" s="84"/>
      <c r="J63" s="75"/>
      <c r="K63" s="75"/>
      <c r="L63" s="75"/>
      <c r="M63" s="75"/>
      <c r="N63" s="75"/>
      <c r="O63" s="75"/>
      <c r="P63" s="53"/>
    </row>
    <row r="64" spans="1:16" ht="15">
      <c r="A64" s="79"/>
      <c r="B64" s="79"/>
      <c r="C64" s="85"/>
      <c r="D64" s="86"/>
      <c r="E64" s="75"/>
      <c r="F64" s="75"/>
      <c r="G64" s="75"/>
      <c r="H64" s="75"/>
      <c r="I64" s="84"/>
      <c r="J64" s="75"/>
      <c r="K64" s="75"/>
      <c r="L64" s="75"/>
      <c r="M64" s="75"/>
      <c r="N64" s="75"/>
      <c r="O64" s="75"/>
      <c r="P64" s="53"/>
    </row>
    <row r="65" spans="1:16" ht="15">
      <c r="A65" s="79"/>
      <c r="B65" s="79"/>
      <c r="C65" s="85"/>
      <c r="D65" s="86"/>
      <c r="E65" s="75"/>
      <c r="F65" s="75"/>
      <c r="G65" s="75"/>
      <c r="H65" s="75"/>
      <c r="I65" s="84"/>
      <c r="J65" s="75"/>
      <c r="K65" s="75"/>
      <c r="L65" s="75"/>
      <c r="M65" s="75"/>
      <c r="N65" s="75"/>
      <c r="O65" s="75"/>
      <c r="P65" s="53"/>
    </row>
    <row r="66" spans="1:16" ht="15">
      <c r="A66" s="79"/>
      <c r="B66" s="79"/>
      <c r="C66" s="85"/>
      <c r="D66" s="86"/>
      <c r="E66" s="75"/>
      <c r="F66" s="75"/>
      <c r="G66" s="75"/>
      <c r="H66" s="75"/>
      <c r="I66" s="84"/>
      <c r="J66" s="75"/>
      <c r="K66" s="75"/>
      <c r="L66" s="75"/>
      <c r="M66" s="75"/>
      <c r="N66" s="75"/>
      <c r="O66" s="75"/>
      <c r="P66" s="53"/>
    </row>
    <row r="67" spans="1:16" ht="15">
      <c r="A67" s="79"/>
      <c r="B67" s="79"/>
      <c r="C67" s="75"/>
      <c r="D67" s="75"/>
      <c r="E67" s="75"/>
      <c r="F67" s="75"/>
      <c r="G67" s="75"/>
      <c r="H67" s="75"/>
      <c r="I67" s="84"/>
      <c r="J67" s="75"/>
      <c r="K67" s="75"/>
      <c r="L67" s="75"/>
      <c r="M67" s="75"/>
      <c r="N67" s="75"/>
      <c r="O67" s="75"/>
      <c r="P67" s="53"/>
    </row>
    <row r="68" spans="1:16" ht="15">
      <c r="A68" s="79"/>
      <c r="B68" s="79"/>
      <c r="C68" s="75"/>
      <c r="D68" s="75"/>
      <c r="E68" s="75"/>
      <c r="F68" s="75"/>
      <c r="G68" s="75"/>
      <c r="H68" s="75"/>
      <c r="I68" s="84"/>
      <c r="J68" s="75"/>
      <c r="K68" s="75"/>
      <c r="L68" s="75"/>
      <c r="M68" s="75"/>
      <c r="N68" s="75"/>
      <c r="O68" s="75"/>
      <c r="P68" s="53"/>
    </row>
    <row r="69" spans="1:16" ht="15">
      <c r="A69" s="79"/>
      <c r="B69" s="79"/>
      <c r="C69" s="85"/>
      <c r="D69" s="86"/>
      <c r="E69" s="75"/>
      <c r="F69" s="75"/>
      <c r="G69" s="75"/>
      <c r="H69" s="75"/>
      <c r="I69" s="84"/>
      <c r="J69" s="75"/>
      <c r="K69" s="75"/>
      <c r="L69" s="75"/>
      <c r="M69" s="75"/>
      <c r="N69" s="75"/>
      <c r="O69" s="75"/>
      <c r="P69" s="53"/>
    </row>
    <row r="70" spans="1:16" ht="15">
      <c r="A70" s="79"/>
      <c r="B70" s="79"/>
      <c r="C70" s="85"/>
      <c r="D70" s="86"/>
      <c r="E70" s="75"/>
      <c r="F70" s="75"/>
      <c r="G70" s="75"/>
      <c r="H70" s="75"/>
      <c r="I70" s="84"/>
      <c r="J70" s="75"/>
      <c r="K70" s="75"/>
      <c r="L70" s="75"/>
      <c r="M70" s="75"/>
      <c r="N70" s="75"/>
      <c r="O70" s="75"/>
      <c r="P70" s="53"/>
    </row>
    <row r="71" spans="1:16" ht="15">
      <c r="A71" s="79"/>
      <c r="B71" s="79"/>
      <c r="C71" s="85"/>
      <c r="D71" s="86"/>
      <c r="E71" s="75"/>
      <c r="F71" s="75"/>
      <c r="G71" s="75"/>
      <c r="H71" s="75"/>
      <c r="I71" s="84"/>
      <c r="J71" s="75"/>
      <c r="K71" s="75"/>
      <c r="L71" s="75"/>
      <c r="M71" s="75"/>
      <c r="N71" s="75"/>
      <c r="O71" s="75"/>
      <c r="P71" s="53"/>
    </row>
    <row r="72" spans="1:16" ht="15">
      <c r="A72" s="79"/>
      <c r="B72" s="79"/>
      <c r="C72" s="85"/>
      <c r="D72" s="86"/>
      <c r="E72" s="75"/>
      <c r="F72" s="75"/>
      <c r="G72" s="75"/>
      <c r="H72" s="75"/>
      <c r="I72" s="84"/>
      <c r="J72" s="75"/>
      <c r="K72" s="75"/>
      <c r="L72" s="75"/>
      <c r="M72" s="75"/>
      <c r="N72" s="75"/>
      <c r="O72" s="75"/>
      <c r="P72" s="53"/>
    </row>
    <row r="73" spans="3:16" ht="1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3:16" ht="1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3:16" ht="15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3:16" ht="15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3:16" ht="15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3:16" ht="1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3:16" ht="1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3:16" ht="1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3:16" ht="1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3:16" ht="1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3:16" ht="1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3:16" ht="1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3:16" ht="1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3:16" ht="1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</sheetData>
  <sheetProtection/>
  <mergeCells count="7">
    <mergeCell ref="H15:M15"/>
    <mergeCell ref="H16:I16"/>
    <mergeCell ref="J16:K16"/>
    <mergeCell ref="L16:M16"/>
    <mergeCell ref="H17:I17"/>
    <mergeCell ref="J17:K17"/>
    <mergeCell ref="L17:M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86"/>
  <sheetViews>
    <sheetView zoomScalePageLayoutView="0" workbookViewId="0" topLeftCell="E29">
      <selection activeCell="S47" sqref="S47"/>
    </sheetView>
  </sheetViews>
  <sheetFormatPr defaultColWidth="11.421875" defaultRowHeight="15"/>
  <cols>
    <col min="1" max="1" width="8.00390625" style="0" bestFit="1" customWidth="1"/>
    <col min="2" max="2" width="29.421875" style="0" bestFit="1" customWidth="1"/>
    <col min="4" max="4" width="12.57421875" style="0" customWidth="1"/>
  </cols>
  <sheetData>
    <row r="1" spans="2:8" ht="15">
      <c r="B1" t="s">
        <v>90</v>
      </c>
      <c r="H1" t="s">
        <v>123</v>
      </c>
    </row>
    <row r="2" spans="2:13" ht="15.75" thickBot="1">
      <c r="B2" t="s">
        <v>98</v>
      </c>
      <c r="D2" s="53"/>
      <c r="H2" s="89" t="s">
        <v>124</v>
      </c>
      <c r="I2" s="90"/>
      <c r="J2" s="90"/>
      <c r="K2" s="90"/>
      <c r="L2" s="90"/>
      <c r="M2" s="90"/>
    </row>
    <row r="3" spans="2:13" ht="46.5" thickBot="1" thickTop="1">
      <c r="B3" s="71" t="s">
        <v>99</v>
      </c>
      <c r="C3" s="71" t="s">
        <v>100</v>
      </c>
      <c r="D3" s="71" t="s">
        <v>101</v>
      </c>
      <c r="E3" s="72" t="s">
        <v>102</v>
      </c>
      <c r="H3" s="91" t="s">
        <v>125</v>
      </c>
      <c r="I3" s="91" t="s">
        <v>126</v>
      </c>
      <c r="J3" s="91" t="s">
        <v>127</v>
      </c>
      <c r="K3" s="91" t="s">
        <v>128</v>
      </c>
      <c r="L3" s="90"/>
      <c r="M3" s="90"/>
    </row>
    <row r="4" spans="2:13" ht="34.5" thickTop="1">
      <c r="B4" s="73">
        <v>0.01</v>
      </c>
      <c r="C4" s="73">
        <f>B5-0.01</f>
        <v>496.07</v>
      </c>
      <c r="D4" s="73">
        <f>O4</f>
        <v>0</v>
      </c>
      <c r="E4" s="74">
        <v>0.0192</v>
      </c>
      <c r="H4" s="91"/>
      <c r="I4" s="91"/>
      <c r="J4" s="91"/>
      <c r="K4" s="91" t="s">
        <v>129</v>
      </c>
      <c r="L4" s="90"/>
      <c r="M4" s="90"/>
    </row>
    <row r="5" spans="2:13" ht="15">
      <c r="B5" s="73">
        <v>496.08</v>
      </c>
      <c r="C5" s="73">
        <f>B6-0.01</f>
        <v>4210.41</v>
      </c>
      <c r="D5" s="73">
        <v>9.52</v>
      </c>
      <c r="E5" s="74">
        <v>0.064</v>
      </c>
      <c r="H5" s="91" t="s">
        <v>130</v>
      </c>
      <c r="I5" s="91" t="s">
        <v>130</v>
      </c>
      <c r="J5" s="91" t="s">
        <v>130</v>
      </c>
      <c r="K5" s="91" t="s">
        <v>131</v>
      </c>
      <c r="L5" s="90"/>
      <c r="M5" s="90"/>
    </row>
    <row r="6" spans="2:13" ht="15">
      <c r="B6" s="73">
        <v>4210.42</v>
      </c>
      <c r="C6" s="73">
        <f>B7-0.01</f>
        <v>7399.42</v>
      </c>
      <c r="D6" s="73">
        <v>247.23</v>
      </c>
      <c r="E6" s="74">
        <v>0.1088</v>
      </c>
      <c r="H6" s="91">
        <v>0.01</v>
      </c>
      <c r="I6" s="91">
        <v>244.8</v>
      </c>
      <c r="J6" s="91">
        <v>0</v>
      </c>
      <c r="K6" s="92">
        <v>0.0192</v>
      </c>
      <c r="L6" s="90"/>
      <c r="M6" s="90"/>
    </row>
    <row r="7" spans="2:13" ht="15">
      <c r="B7" s="73">
        <v>7399.43</v>
      </c>
      <c r="C7" s="73">
        <f>B8-0.01</f>
        <v>8601.5</v>
      </c>
      <c r="D7" s="73">
        <v>594.24</v>
      </c>
      <c r="E7" s="74">
        <v>0.16</v>
      </c>
      <c r="H7" s="91">
        <v>244.81</v>
      </c>
      <c r="I7" s="93">
        <v>2077.5</v>
      </c>
      <c r="J7" s="91">
        <v>4.65</v>
      </c>
      <c r="K7" s="92">
        <v>0.064</v>
      </c>
      <c r="L7" s="90"/>
      <c r="M7" s="90"/>
    </row>
    <row r="8" spans="2:13" ht="15">
      <c r="B8" s="73">
        <v>8601.51</v>
      </c>
      <c r="C8" s="73">
        <v>10298.35</v>
      </c>
      <c r="D8" s="73">
        <v>786.55</v>
      </c>
      <c r="E8" s="74">
        <v>0.1792</v>
      </c>
      <c r="H8" s="93">
        <v>2077.51</v>
      </c>
      <c r="I8" s="93">
        <v>3651</v>
      </c>
      <c r="J8" s="91">
        <v>121.95</v>
      </c>
      <c r="K8" s="92">
        <v>0.1088</v>
      </c>
      <c r="L8" s="90"/>
      <c r="M8" s="90"/>
    </row>
    <row r="9" spans="2:13" ht="15">
      <c r="B9" s="73">
        <v>10298.36</v>
      </c>
      <c r="C9" s="73">
        <v>20770.29</v>
      </c>
      <c r="D9" s="73">
        <v>1090.62</v>
      </c>
      <c r="E9" s="74">
        <v>0.2136</v>
      </c>
      <c r="H9" s="93">
        <v>3651.01</v>
      </c>
      <c r="I9" s="93">
        <v>4244.1</v>
      </c>
      <c r="J9" s="91">
        <v>293.25</v>
      </c>
      <c r="K9" s="94">
        <v>0.16</v>
      </c>
      <c r="L9" s="90"/>
      <c r="M9" s="90"/>
    </row>
    <row r="10" spans="2:13" ht="15">
      <c r="B10" s="73">
        <v>20770.3</v>
      </c>
      <c r="C10" s="73">
        <v>32736.83</v>
      </c>
      <c r="D10" s="73">
        <v>3327.42</v>
      </c>
      <c r="E10" s="74">
        <v>0.2352</v>
      </c>
      <c r="H10" s="93">
        <v>4244.11</v>
      </c>
      <c r="I10" s="93">
        <v>5081.4</v>
      </c>
      <c r="J10" s="91">
        <v>388.05</v>
      </c>
      <c r="K10" s="92">
        <v>0.1792</v>
      </c>
      <c r="L10" s="90"/>
      <c r="M10" s="90"/>
    </row>
    <row r="11" spans="2:13" ht="15">
      <c r="B11" s="73">
        <v>32736.84</v>
      </c>
      <c r="C11" s="73" t="s">
        <v>103</v>
      </c>
      <c r="D11" s="73">
        <v>6141.95</v>
      </c>
      <c r="E11" s="74">
        <v>0.3</v>
      </c>
      <c r="H11" s="93">
        <v>5081.41</v>
      </c>
      <c r="I11" s="93">
        <v>10248.45</v>
      </c>
      <c r="J11" s="91">
        <v>538.2</v>
      </c>
      <c r="K11" s="92">
        <v>0.2136</v>
      </c>
      <c r="L11" s="90"/>
      <c r="M11" s="90"/>
    </row>
    <row r="12" spans="3:13" ht="15">
      <c r="C12" s="75"/>
      <c r="D12" s="75"/>
      <c r="E12" s="75"/>
      <c r="F12" s="76"/>
      <c r="H12" s="93">
        <v>10248.46</v>
      </c>
      <c r="I12" s="93">
        <v>16153.05</v>
      </c>
      <c r="J12" s="93">
        <v>1641.75</v>
      </c>
      <c r="K12" s="92">
        <v>0.2352</v>
      </c>
      <c r="L12" s="90"/>
      <c r="M12" s="90"/>
    </row>
    <row r="13" spans="3:13" ht="15">
      <c r="C13" s="75"/>
      <c r="D13" s="75"/>
      <c r="E13" s="75"/>
      <c r="F13" s="76"/>
      <c r="H13" s="93">
        <v>16153.06</v>
      </c>
      <c r="I13" s="91" t="s">
        <v>103</v>
      </c>
      <c r="J13" s="93">
        <v>3030.6</v>
      </c>
      <c r="K13" s="94">
        <v>0.3</v>
      </c>
      <c r="L13" s="90"/>
      <c r="M13" s="90"/>
    </row>
    <row r="14" spans="3:13" ht="15">
      <c r="C14" s="75"/>
      <c r="D14" s="75"/>
      <c r="E14" s="75"/>
      <c r="F14" s="76"/>
      <c r="H14" s="89" t="s">
        <v>132</v>
      </c>
      <c r="I14" s="90"/>
      <c r="J14" s="90"/>
      <c r="K14" s="90"/>
      <c r="L14" s="90"/>
      <c r="M14" s="90"/>
    </row>
    <row r="15" spans="3:13" ht="15">
      <c r="C15" s="75"/>
      <c r="D15" s="75"/>
      <c r="E15" s="75"/>
      <c r="F15" s="76"/>
      <c r="H15" s="330" t="s">
        <v>133</v>
      </c>
      <c r="I15" s="330"/>
      <c r="J15" s="330"/>
      <c r="K15" s="330"/>
      <c r="L15" s="330"/>
      <c r="M15" s="330"/>
    </row>
    <row r="16" spans="2:13" ht="15.75" thickBot="1">
      <c r="B16" s="23" t="s">
        <v>104</v>
      </c>
      <c r="C16" s="23"/>
      <c r="D16" s="23"/>
      <c r="H16" s="330" t="s">
        <v>134</v>
      </c>
      <c r="I16" s="330"/>
      <c r="J16" s="330" t="s">
        <v>135</v>
      </c>
      <c r="K16" s="330"/>
      <c r="L16" s="330" t="s">
        <v>136</v>
      </c>
      <c r="M16" s="330"/>
    </row>
    <row r="17" spans="2:13" ht="24" thickBot="1" thickTop="1">
      <c r="B17" s="71" t="s">
        <v>99</v>
      </c>
      <c r="C17" s="71" t="s">
        <v>100</v>
      </c>
      <c r="D17" s="72" t="s">
        <v>105</v>
      </c>
      <c r="H17" s="330" t="s">
        <v>130</v>
      </c>
      <c r="I17" s="330"/>
      <c r="J17" s="330" t="s">
        <v>130</v>
      </c>
      <c r="K17" s="330"/>
      <c r="L17" s="330" t="s">
        <v>130</v>
      </c>
      <c r="M17" s="330"/>
    </row>
    <row r="18" spans="2:13" ht="15.75" thickTop="1">
      <c r="B18" s="73">
        <v>0.01</v>
      </c>
      <c r="C18" s="73">
        <f aca="true" t="shared" si="0" ref="C18:C27">B19-0.01</f>
        <v>1768.96</v>
      </c>
      <c r="D18" s="73">
        <v>407.02</v>
      </c>
      <c r="I18" s="91">
        <v>0.01</v>
      </c>
      <c r="J18" s="91">
        <v>872.85</v>
      </c>
      <c r="K18" s="91">
        <v>200.85</v>
      </c>
      <c r="M18" s="91"/>
    </row>
    <row r="19" spans="2:13" ht="15">
      <c r="B19" s="73">
        <v>1768.97</v>
      </c>
      <c r="C19" s="73">
        <f t="shared" si="0"/>
        <v>2653.3799999999997</v>
      </c>
      <c r="D19" s="73">
        <v>406.83</v>
      </c>
      <c r="I19" s="91">
        <v>872.86</v>
      </c>
      <c r="J19" s="93">
        <v>1309.2</v>
      </c>
      <c r="K19" s="91">
        <v>200.7</v>
      </c>
      <c r="M19" s="91"/>
    </row>
    <row r="20" spans="2:13" ht="15">
      <c r="B20" s="73">
        <v>2653.39</v>
      </c>
      <c r="C20" s="73">
        <f t="shared" si="0"/>
        <v>3472.8399999999997</v>
      </c>
      <c r="D20" s="73">
        <v>406.62</v>
      </c>
      <c r="I20" s="93">
        <v>1309.21</v>
      </c>
      <c r="J20" s="93">
        <v>1713.6</v>
      </c>
      <c r="K20" s="91">
        <v>200.7</v>
      </c>
      <c r="M20" s="91"/>
    </row>
    <row r="21" spans="2:13" ht="15">
      <c r="B21" s="73">
        <v>3472.85</v>
      </c>
      <c r="C21" s="73">
        <f t="shared" si="0"/>
        <v>3537.87</v>
      </c>
      <c r="D21" s="73">
        <v>392.77</v>
      </c>
      <c r="I21" s="93">
        <v>1713.61</v>
      </c>
      <c r="J21" s="93">
        <v>1745.7</v>
      </c>
      <c r="K21" s="91">
        <v>193.8</v>
      </c>
      <c r="M21" s="91"/>
    </row>
    <row r="22" spans="2:13" ht="15">
      <c r="B22" s="73">
        <v>3537.88</v>
      </c>
      <c r="C22" s="73">
        <f t="shared" si="0"/>
        <v>4446.15</v>
      </c>
      <c r="D22" s="73">
        <v>382.46</v>
      </c>
      <c r="I22" s="93">
        <v>1745.71</v>
      </c>
      <c r="J22" s="93">
        <v>2193.75</v>
      </c>
      <c r="K22" s="91">
        <v>188.7</v>
      </c>
      <c r="M22" s="91"/>
    </row>
    <row r="23" spans="2:13" ht="15">
      <c r="B23" s="73">
        <v>4446.16</v>
      </c>
      <c r="C23" s="73">
        <f t="shared" si="0"/>
        <v>4717.179999999999</v>
      </c>
      <c r="D23" s="73">
        <v>354.23</v>
      </c>
      <c r="I23" s="93">
        <v>2193.76</v>
      </c>
      <c r="J23" s="93">
        <v>2327.55</v>
      </c>
      <c r="K23" s="91">
        <v>174.75</v>
      </c>
      <c r="M23" s="91"/>
    </row>
    <row r="24" spans="2:13" ht="15">
      <c r="B24" s="73">
        <v>4717.19</v>
      </c>
      <c r="C24" s="73">
        <f t="shared" si="0"/>
        <v>5335.42</v>
      </c>
      <c r="D24" s="73">
        <v>324.87</v>
      </c>
      <c r="I24" s="93">
        <v>2327.56</v>
      </c>
      <c r="J24" s="93">
        <v>2632.65</v>
      </c>
      <c r="K24" s="91">
        <v>160.35</v>
      </c>
      <c r="M24" s="91"/>
    </row>
    <row r="25" spans="2:13" ht="15">
      <c r="B25" s="73">
        <v>5335.43</v>
      </c>
      <c r="C25" s="73">
        <f t="shared" si="0"/>
        <v>6224.67</v>
      </c>
      <c r="D25" s="73">
        <v>294.63</v>
      </c>
      <c r="I25" s="93">
        <v>2632.66</v>
      </c>
      <c r="J25" s="93">
        <v>3071.4</v>
      </c>
      <c r="K25" s="91">
        <v>145.35</v>
      </c>
      <c r="M25" s="91"/>
    </row>
    <row r="26" spans="2:13" ht="15">
      <c r="B26" s="73">
        <v>6224.68</v>
      </c>
      <c r="C26" s="73">
        <f t="shared" si="0"/>
        <v>7113.9</v>
      </c>
      <c r="D26" s="73">
        <v>253.54</v>
      </c>
      <c r="I26" s="93">
        <v>3071.41</v>
      </c>
      <c r="J26" s="93">
        <v>3510.15</v>
      </c>
      <c r="K26" s="91">
        <v>125.1</v>
      </c>
      <c r="M26" s="91"/>
    </row>
    <row r="27" spans="2:13" ht="15">
      <c r="B27" s="73">
        <v>7113.91</v>
      </c>
      <c r="C27" s="73">
        <f t="shared" si="0"/>
        <v>7382.33</v>
      </c>
      <c r="D27" s="73">
        <v>217.61</v>
      </c>
      <c r="I27" s="93">
        <v>3510.16</v>
      </c>
      <c r="J27" s="93">
        <v>3642.6</v>
      </c>
      <c r="K27" s="91">
        <v>107.4</v>
      </c>
      <c r="M27" s="91"/>
    </row>
    <row r="28" spans="2:13" ht="15">
      <c r="B28" s="73">
        <v>7382.34</v>
      </c>
      <c r="C28" s="73" t="s">
        <v>103</v>
      </c>
      <c r="D28" s="73">
        <v>0</v>
      </c>
      <c r="I28" s="93">
        <v>3642.61</v>
      </c>
      <c r="J28" s="91" t="s">
        <v>103</v>
      </c>
      <c r="K28" s="91">
        <v>0</v>
      </c>
      <c r="M28" s="90"/>
    </row>
    <row r="29" ht="15">
      <c r="E29" s="53"/>
    </row>
    <row r="30" ht="15">
      <c r="E30" s="53"/>
    </row>
    <row r="31" spans="5:8" ht="31.5">
      <c r="E31" s="53"/>
      <c r="F31" s="96" t="s">
        <v>123</v>
      </c>
      <c r="H31" s="53"/>
    </row>
    <row r="32" spans="1:17" ht="71.25" customHeight="1">
      <c r="A32" s="77" t="s">
        <v>106</v>
      </c>
      <c r="B32" s="78" t="s">
        <v>107</v>
      </c>
      <c r="C32" s="78" t="s">
        <v>118</v>
      </c>
      <c r="D32" s="78" t="s">
        <v>119</v>
      </c>
      <c r="E32" s="78" t="s">
        <v>108</v>
      </c>
      <c r="F32" s="78" t="s">
        <v>109</v>
      </c>
      <c r="G32" s="78" t="s">
        <v>110</v>
      </c>
      <c r="H32" s="78" t="s">
        <v>111</v>
      </c>
      <c r="I32" s="78" t="s">
        <v>99</v>
      </c>
      <c r="J32" s="78" t="s">
        <v>112</v>
      </c>
      <c r="K32" s="78" t="s">
        <v>113</v>
      </c>
      <c r="L32" s="78" t="s">
        <v>114</v>
      </c>
      <c r="M32" s="78" t="s">
        <v>101</v>
      </c>
      <c r="N32" s="78" t="s">
        <v>115</v>
      </c>
      <c r="O32" s="78" t="s">
        <v>116</v>
      </c>
      <c r="P32" s="78" t="s">
        <v>115</v>
      </c>
      <c r="Q32" s="78" t="s">
        <v>117</v>
      </c>
    </row>
    <row r="33" spans="1:17" ht="15">
      <c r="A33" s="79" t="s">
        <v>120</v>
      </c>
      <c r="B33" s="79"/>
      <c r="E33" s="80"/>
      <c r="F33" s="40"/>
      <c r="G33" s="23"/>
      <c r="H33" s="23"/>
      <c r="I33" s="23"/>
      <c r="J33" s="23"/>
      <c r="K33" s="81"/>
      <c r="L33" s="82"/>
      <c r="M33" s="82"/>
      <c r="N33" s="83"/>
      <c r="O33" s="23"/>
      <c r="P33" s="23"/>
      <c r="Q33" s="23"/>
    </row>
    <row r="34" spans="1:17" ht="15">
      <c r="A34" s="79" t="str">
        <f>'31 JULIO'!A7</f>
        <v>PENSIL</v>
      </c>
      <c r="B34" s="79" t="str">
        <f>'31 JULIO'!B7</f>
        <v>DANIEL CORTES PEREZ</v>
      </c>
      <c r="C34" s="40" t="e">
        <f>'15 DE AGOSTO '!O7</f>
        <v>#REF!</v>
      </c>
      <c r="D34" s="40"/>
      <c r="E34" s="80" t="e">
        <f>C34+D34</f>
        <v>#REF!</v>
      </c>
      <c r="F34" s="40">
        <v>0</v>
      </c>
      <c r="G34" s="80" t="e">
        <f aca="true" t="shared" si="1" ref="G34:G41">E34-F34</f>
        <v>#REF!</v>
      </c>
      <c r="H34" s="80" t="e">
        <f aca="true" t="shared" si="2" ref="H34:H41">G34</f>
        <v>#REF!</v>
      </c>
      <c r="I34" s="80" t="e">
        <f>IF(H34&gt;0,LOOKUP(H34,$H$3:$I$13,$H$3:$H$13),0)</f>
        <v>#REF!</v>
      </c>
      <c r="J34" s="80" t="e">
        <f>H34-I34</f>
        <v>#REF!</v>
      </c>
      <c r="K34" s="81" t="e">
        <f>IF(H34&gt;0,LOOKUP(H34,$H$3:$I$11,$K$3:$K$11),0)</f>
        <v>#REF!</v>
      </c>
      <c r="L34" s="97" t="e">
        <f>J34*K34</f>
        <v>#REF!</v>
      </c>
      <c r="M34" s="97" t="e">
        <f>IF(H34&gt;0,LOOKUP(H34,$H$3:$I$13,$J$3:$J$13),0)</f>
        <v>#REF!</v>
      </c>
      <c r="N34" s="98" t="e">
        <f>M34+L34</f>
        <v>#REF!</v>
      </c>
      <c r="O34" s="80" t="e">
        <f>IF(H34&gt;0,LOOKUP(H34,$I$18:$J$28,$K$18:$K$28),0)</f>
        <v>#REF!</v>
      </c>
      <c r="P34" s="80" t="e">
        <f>IF(N34&gt;O34,N34-O34,0)</f>
        <v>#REF!</v>
      </c>
      <c r="Q34" s="80" t="e">
        <f>IF(N34&lt;O34,N34-O34,0)</f>
        <v>#REF!</v>
      </c>
    </row>
    <row r="35" spans="1:17" ht="15">
      <c r="A35" s="79" t="str">
        <f>'31 JULIO'!A8</f>
        <v>PENSIL</v>
      </c>
      <c r="B35" s="79" t="str">
        <f>'31 JULIO'!B8</f>
        <v>FELIPE PEREZ HERNANDEZ</v>
      </c>
      <c r="C35" s="40" t="e">
        <f>'15 DE AGOSTO '!O8</f>
        <v>#REF!</v>
      </c>
      <c r="D35" s="40"/>
      <c r="E35" s="80" t="e">
        <f aca="true" t="shared" si="3" ref="E35:E41">C35+D35</f>
        <v>#REF!</v>
      </c>
      <c r="F35" s="40">
        <v>0</v>
      </c>
      <c r="G35" s="80" t="e">
        <f t="shared" si="1"/>
        <v>#REF!</v>
      </c>
      <c r="H35" s="80" t="e">
        <f t="shared" si="2"/>
        <v>#REF!</v>
      </c>
      <c r="I35" s="80" t="e">
        <f aca="true" t="shared" si="4" ref="I35:I41">IF(H35&gt;0,LOOKUP(H35,$H$3:$I$13,$H$3:$H$13),0)</f>
        <v>#REF!</v>
      </c>
      <c r="J35" s="80" t="e">
        <f aca="true" t="shared" si="5" ref="J35:J41">H35-I35</f>
        <v>#REF!</v>
      </c>
      <c r="K35" s="81" t="e">
        <f aca="true" t="shared" si="6" ref="K35:K41">IF(H35&gt;0,LOOKUP(H35,$H$3:$I$11,$K$3:$K$11),0)</f>
        <v>#REF!</v>
      </c>
      <c r="L35" s="97" t="e">
        <f aca="true" t="shared" si="7" ref="L35:L41">J35*K35</f>
        <v>#REF!</v>
      </c>
      <c r="M35" s="97" t="e">
        <f aca="true" t="shared" si="8" ref="M35:M41">IF(H35&gt;0,LOOKUP(H35,$H$3:$I$13,$J$3:$J$13),0)</f>
        <v>#REF!</v>
      </c>
      <c r="N35" s="98" t="e">
        <f aca="true" t="shared" si="9" ref="N35:N41">M35+L35</f>
        <v>#REF!</v>
      </c>
      <c r="O35" s="80" t="e">
        <f aca="true" t="shared" si="10" ref="O35:O41">IF(H35&gt;0,LOOKUP(H35,$I$18:$J$28,$K$18:$K$28),0)</f>
        <v>#REF!</v>
      </c>
      <c r="P35" s="80" t="e">
        <f aca="true" t="shared" si="11" ref="P35:P41">IF(N35&gt;O35,N35-O35,0)</f>
        <v>#REF!</v>
      </c>
      <c r="Q35" s="80" t="e">
        <f aca="true" t="shared" si="12" ref="Q35:Q41">IF(N35&lt;O35,N35-O35,0)</f>
        <v>#REF!</v>
      </c>
    </row>
    <row r="36" spans="1:17" ht="15">
      <c r="A36" s="79" t="str">
        <f>'31 JULIO'!A9</f>
        <v>PENSIL</v>
      </c>
      <c r="B36" s="79" t="str">
        <f>'31 JULIO'!B9</f>
        <v>JOSE ALBERTO GONZALEZ PEREZ</v>
      </c>
      <c r="C36" s="40" t="e">
        <f>'15 DE AGOSTO '!O9</f>
        <v>#REF!</v>
      </c>
      <c r="D36" s="40"/>
      <c r="E36" s="80" t="e">
        <f t="shared" si="3"/>
        <v>#REF!</v>
      </c>
      <c r="F36" s="40">
        <v>0</v>
      </c>
      <c r="G36" s="80" t="e">
        <f t="shared" si="1"/>
        <v>#REF!</v>
      </c>
      <c r="H36" s="80" t="e">
        <f t="shared" si="2"/>
        <v>#REF!</v>
      </c>
      <c r="I36" s="80" t="e">
        <f t="shared" si="4"/>
        <v>#REF!</v>
      </c>
      <c r="J36" s="80" t="e">
        <f t="shared" si="5"/>
        <v>#REF!</v>
      </c>
      <c r="K36" s="81" t="e">
        <f t="shared" si="6"/>
        <v>#REF!</v>
      </c>
      <c r="L36" s="97" t="e">
        <f t="shared" si="7"/>
        <v>#REF!</v>
      </c>
      <c r="M36" s="97" t="e">
        <f t="shared" si="8"/>
        <v>#REF!</v>
      </c>
      <c r="N36" s="98" t="e">
        <f t="shared" si="9"/>
        <v>#REF!</v>
      </c>
      <c r="O36" s="80" t="e">
        <f t="shared" si="10"/>
        <v>#REF!</v>
      </c>
      <c r="P36" s="80" t="e">
        <f t="shared" si="11"/>
        <v>#REF!</v>
      </c>
      <c r="Q36" s="80" t="e">
        <f t="shared" si="12"/>
        <v>#REF!</v>
      </c>
    </row>
    <row r="37" spans="1:17" ht="15">
      <c r="A37" s="79" t="str">
        <f>'31 JULIO'!A10</f>
        <v>PENSIL</v>
      </c>
      <c r="B37" s="79" t="str">
        <f>'31 JULIO'!B10</f>
        <v>LUIS MIGUEL LOPEZ ESCOBEDO</v>
      </c>
      <c r="C37" s="40" t="e">
        <f>'15 DE AGOSTO '!O10</f>
        <v>#REF!</v>
      </c>
      <c r="D37" s="40"/>
      <c r="E37" s="80" t="e">
        <f t="shared" si="3"/>
        <v>#REF!</v>
      </c>
      <c r="F37" s="40">
        <v>0</v>
      </c>
      <c r="G37" s="80" t="e">
        <f t="shared" si="1"/>
        <v>#REF!</v>
      </c>
      <c r="H37" s="80" t="e">
        <f t="shared" si="2"/>
        <v>#REF!</v>
      </c>
      <c r="I37" s="80" t="e">
        <f t="shared" si="4"/>
        <v>#REF!</v>
      </c>
      <c r="J37" s="80" t="e">
        <f t="shared" si="5"/>
        <v>#REF!</v>
      </c>
      <c r="K37" s="81" t="e">
        <f t="shared" si="6"/>
        <v>#REF!</v>
      </c>
      <c r="L37" s="97" t="e">
        <f t="shared" si="7"/>
        <v>#REF!</v>
      </c>
      <c r="M37" s="97" t="e">
        <f t="shared" si="8"/>
        <v>#REF!</v>
      </c>
      <c r="N37" s="98" t="e">
        <f t="shared" si="9"/>
        <v>#REF!</v>
      </c>
      <c r="O37" s="80" t="e">
        <f t="shared" si="10"/>
        <v>#REF!</v>
      </c>
      <c r="P37" s="80" t="e">
        <f t="shared" si="11"/>
        <v>#REF!</v>
      </c>
      <c r="Q37" s="80" t="e">
        <f t="shared" si="12"/>
        <v>#REF!</v>
      </c>
    </row>
    <row r="38" spans="1:17" ht="15">
      <c r="A38" s="79" t="str">
        <f>'31 JULIO'!A11</f>
        <v>PENSIL</v>
      </c>
      <c r="B38" s="79" t="str">
        <f>'31 JULIO'!B11</f>
        <v>JORGE LUIS VELAZQUEZ LOPEZ</v>
      </c>
      <c r="C38" s="40" t="e">
        <f>'15 DE AGOSTO '!O11</f>
        <v>#REF!</v>
      </c>
      <c r="D38" s="40"/>
      <c r="E38" s="80" t="e">
        <f t="shared" si="3"/>
        <v>#REF!</v>
      </c>
      <c r="F38" s="40">
        <v>0</v>
      </c>
      <c r="G38" s="80" t="e">
        <f t="shared" si="1"/>
        <v>#REF!</v>
      </c>
      <c r="H38" s="80" t="e">
        <f t="shared" si="2"/>
        <v>#REF!</v>
      </c>
      <c r="I38" s="80" t="e">
        <f t="shared" si="4"/>
        <v>#REF!</v>
      </c>
      <c r="J38" s="80" t="e">
        <f t="shared" si="5"/>
        <v>#REF!</v>
      </c>
      <c r="K38" s="81" t="e">
        <f t="shared" si="6"/>
        <v>#REF!</v>
      </c>
      <c r="L38" s="97" t="e">
        <f t="shared" si="7"/>
        <v>#REF!</v>
      </c>
      <c r="M38" s="97" t="e">
        <f t="shared" si="8"/>
        <v>#REF!</v>
      </c>
      <c r="N38" s="98" t="e">
        <f t="shared" si="9"/>
        <v>#REF!</v>
      </c>
      <c r="O38" s="80" t="e">
        <f t="shared" si="10"/>
        <v>#REF!</v>
      </c>
      <c r="P38" s="80" t="e">
        <f t="shared" si="11"/>
        <v>#REF!</v>
      </c>
      <c r="Q38" s="80" t="e">
        <f t="shared" si="12"/>
        <v>#REF!</v>
      </c>
    </row>
    <row r="39" spans="1:17" ht="15">
      <c r="A39" s="79" t="str">
        <f>'31 JULIO'!A12</f>
        <v>PENSIL</v>
      </c>
      <c r="B39" s="79" t="str">
        <f>'31 JULIO'!B12</f>
        <v>LEIBER ARMANDO HERNANDEZ SHILON</v>
      </c>
      <c r="C39" s="40" t="e">
        <f>'15 DE AGOSTO '!O12</f>
        <v>#REF!</v>
      </c>
      <c r="D39" s="40"/>
      <c r="E39" s="80" t="e">
        <f t="shared" si="3"/>
        <v>#REF!</v>
      </c>
      <c r="F39" s="40">
        <v>0</v>
      </c>
      <c r="G39" s="80" t="e">
        <f t="shared" si="1"/>
        <v>#REF!</v>
      </c>
      <c r="H39" s="80" t="e">
        <f t="shared" si="2"/>
        <v>#REF!</v>
      </c>
      <c r="I39" s="80" t="e">
        <f t="shared" si="4"/>
        <v>#REF!</v>
      </c>
      <c r="J39" s="80" t="e">
        <f t="shared" si="5"/>
        <v>#REF!</v>
      </c>
      <c r="K39" s="81" t="e">
        <f t="shared" si="6"/>
        <v>#REF!</v>
      </c>
      <c r="L39" s="97" t="e">
        <f t="shared" si="7"/>
        <v>#REF!</v>
      </c>
      <c r="M39" s="97" t="e">
        <f t="shared" si="8"/>
        <v>#REF!</v>
      </c>
      <c r="N39" s="98" t="e">
        <f t="shared" si="9"/>
        <v>#REF!</v>
      </c>
      <c r="O39" s="80" t="e">
        <f t="shared" si="10"/>
        <v>#REF!</v>
      </c>
      <c r="P39" s="80" t="e">
        <f t="shared" si="11"/>
        <v>#REF!</v>
      </c>
      <c r="Q39" s="80" t="e">
        <f t="shared" si="12"/>
        <v>#REF!</v>
      </c>
    </row>
    <row r="40" spans="1:17" ht="15">
      <c r="A40" s="79" t="str">
        <f>'31 JULIO'!A13</f>
        <v>PENSIL</v>
      </c>
      <c r="B40" s="79" t="str">
        <f>'31 JULIO'!B13</f>
        <v>CARLOS MAGNO SÁNCHEZ LÓPEZ </v>
      </c>
      <c r="C40" s="40">
        <f>'15 DE AGOSTO '!O13</f>
        <v>1520.0425</v>
      </c>
      <c r="D40" s="40"/>
      <c r="E40" s="80">
        <f t="shared" si="3"/>
        <v>1520.0425</v>
      </c>
      <c r="F40" s="40">
        <v>0</v>
      </c>
      <c r="G40" s="80">
        <f t="shared" si="1"/>
        <v>1520.0425</v>
      </c>
      <c r="H40" s="80">
        <f t="shared" si="2"/>
        <v>1520.0425</v>
      </c>
      <c r="I40" s="80">
        <f t="shared" si="4"/>
        <v>244.81</v>
      </c>
      <c r="J40" s="80">
        <f t="shared" si="5"/>
        <v>1275.2325</v>
      </c>
      <c r="K40" s="81">
        <f t="shared" si="6"/>
        <v>0.064</v>
      </c>
      <c r="L40" s="97">
        <f t="shared" si="7"/>
        <v>81.61488</v>
      </c>
      <c r="M40" s="97">
        <f t="shared" si="8"/>
        <v>4.65</v>
      </c>
      <c r="N40" s="98">
        <f t="shared" si="9"/>
        <v>86.26488</v>
      </c>
      <c r="O40" s="80">
        <f t="shared" si="10"/>
        <v>200.7</v>
      </c>
      <c r="P40" s="80">
        <f t="shared" si="11"/>
        <v>0</v>
      </c>
      <c r="Q40" s="80">
        <f t="shared" si="12"/>
        <v>-114.43511999999998</v>
      </c>
    </row>
    <row r="41" spans="1:17" ht="15">
      <c r="A41" s="79" t="str">
        <f>'31 JULIO'!A14</f>
        <v>PENSIL</v>
      </c>
      <c r="B41" s="79" t="str">
        <f>'31 JULIO'!B14</f>
        <v>ROSARIO DEL CARMEN SOLIS LOPEZ</v>
      </c>
      <c r="C41" s="40" t="e">
        <f>'15 DE AGOSTO '!O14</f>
        <v>#REF!</v>
      </c>
      <c r="D41" s="40"/>
      <c r="E41" s="80" t="e">
        <f t="shared" si="3"/>
        <v>#REF!</v>
      </c>
      <c r="F41" s="40">
        <v>0</v>
      </c>
      <c r="G41" s="80" t="e">
        <f t="shared" si="1"/>
        <v>#REF!</v>
      </c>
      <c r="H41" s="80" t="e">
        <f t="shared" si="2"/>
        <v>#REF!</v>
      </c>
      <c r="I41" s="80" t="e">
        <f t="shared" si="4"/>
        <v>#REF!</v>
      </c>
      <c r="J41" s="80" t="e">
        <f t="shared" si="5"/>
        <v>#REF!</v>
      </c>
      <c r="K41" s="81" t="e">
        <f t="shared" si="6"/>
        <v>#REF!</v>
      </c>
      <c r="L41" s="97" t="e">
        <f t="shared" si="7"/>
        <v>#REF!</v>
      </c>
      <c r="M41" s="97" t="e">
        <f t="shared" si="8"/>
        <v>#REF!</v>
      </c>
      <c r="N41" s="98" t="e">
        <f t="shared" si="9"/>
        <v>#REF!</v>
      </c>
      <c r="O41" s="80" t="e">
        <f t="shared" si="10"/>
        <v>#REF!</v>
      </c>
      <c r="P41" s="80" t="e">
        <f t="shared" si="11"/>
        <v>#REF!</v>
      </c>
      <c r="Q41" s="80" t="e">
        <f t="shared" si="12"/>
        <v>#REF!</v>
      </c>
    </row>
    <row r="42" spans="1:16" ht="15">
      <c r="A42" s="79"/>
      <c r="B42" s="79"/>
      <c r="C42" s="85"/>
      <c r="D42" s="86"/>
      <c r="E42" s="75"/>
      <c r="F42" s="75"/>
      <c r="G42" s="75"/>
      <c r="H42" s="75"/>
      <c r="I42" s="84"/>
      <c r="J42" s="75"/>
      <c r="K42" s="75"/>
      <c r="L42" s="75"/>
      <c r="M42" s="75"/>
      <c r="N42" s="75"/>
      <c r="O42" s="75"/>
      <c r="P42" s="53"/>
    </row>
    <row r="43" spans="1:16" ht="15">
      <c r="A43" s="79"/>
      <c r="B43" s="79"/>
      <c r="C43" s="85"/>
      <c r="D43" s="86"/>
      <c r="E43" s="75"/>
      <c r="F43" s="75"/>
      <c r="G43" s="75"/>
      <c r="H43" s="75"/>
      <c r="I43" s="84"/>
      <c r="J43" s="75"/>
      <c r="K43" s="75"/>
      <c r="L43" s="75"/>
      <c r="M43" s="75"/>
      <c r="N43" s="75"/>
      <c r="O43" s="75"/>
      <c r="P43" s="53"/>
    </row>
    <row r="44" spans="1:16" ht="31.5">
      <c r="A44" s="79"/>
      <c r="B44" s="79"/>
      <c r="C44" s="85"/>
      <c r="D44" s="86"/>
      <c r="E44" s="75"/>
      <c r="F44" s="96" t="s">
        <v>90</v>
      </c>
      <c r="G44" s="75"/>
      <c r="H44" s="75"/>
      <c r="I44" s="84"/>
      <c r="J44" s="75"/>
      <c r="K44" s="75"/>
      <c r="L44" s="75"/>
      <c r="M44" s="75"/>
      <c r="N44" s="75"/>
      <c r="O44" s="75"/>
      <c r="P44" s="53"/>
    </row>
    <row r="45" spans="1:17" ht="15">
      <c r="A45" s="79" t="s">
        <v>106</v>
      </c>
      <c r="B45" s="79" t="s">
        <v>107</v>
      </c>
      <c r="C45" s="85" t="s">
        <v>118</v>
      </c>
      <c r="D45" s="86" t="s">
        <v>119</v>
      </c>
      <c r="E45" s="75" t="s">
        <v>108</v>
      </c>
      <c r="F45" s="75" t="s">
        <v>109</v>
      </c>
      <c r="G45" s="75" t="s">
        <v>110</v>
      </c>
      <c r="H45" s="75" t="s">
        <v>111</v>
      </c>
      <c r="I45" s="84" t="s">
        <v>99</v>
      </c>
      <c r="J45" s="75" t="s">
        <v>112</v>
      </c>
      <c r="K45" s="75" t="s">
        <v>113</v>
      </c>
      <c r="L45" s="75" t="s">
        <v>114</v>
      </c>
      <c r="M45" s="75" t="s">
        <v>101</v>
      </c>
      <c r="N45" s="75" t="s">
        <v>115</v>
      </c>
      <c r="O45" s="75" t="s">
        <v>116</v>
      </c>
      <c r="P45" s="53" t="s">
        <v>115</v>
      </c>
      <c r="Q45" t="s">
        <v>117</v>
      </c>
    </row>
    <row r="46" spans="1:16" ht="15">
      <c r="A46" s="79" t="s">
        <v>120</v>
      </c>
      <c r="B46" s="79"/>
      <c r="C46" s="75"/>
      <c r="D46" s="75"/>
      <c r="E46" s="75"/>
      <c r="F46" s="75"/>
      <c r="G46" s="75"/>
      <c r="H46" s="75"/>
      <c r="I46" s="84"/>
      <c r="J46" s="75"/>
      <c r="K46" s="75"/>
      <c r="L46" s="75"/>
      <c r="M46" s="75"/>
      <c r="N46" s="75"/>
      <c r="O46" s="75"/>
      <c r="P46" s="53"/>
    </row>
    <row r="47" spans="1:17" ht="15">
      <c r="A47" s="79" t="s">
        <v>57</v>
      </c>
      <c r="B47" s="79" t="s">
        <v>58</v>
      </c>
      <c r="C47" s="85">
        <v>1905.6025</v>
      </c>
      <c r="D47" s="86" t="e">
        <f>'31 DE AGOSTO'!O7</f>
        <v>#REF!</v>
      </c>
      <c r="E47" s="85" t="e">
        <f>C47+D47</f>
        <v>#REF!</v>
      </c>
      <c r="F47" s="75">
        <v>0</v>
      </c>
      <c r="G47" s="85" t="e">
        <f>E47</f>
        <v>#REF!</v>
      </c>
      <c r="H47" s="85" t="e">
        <f>G47</f>
        <v>#REF!</v>
      </c>
      <c r="I47" s="80" t="e">
        <f>IF(H47&gt;0,LOOKUP(H47,$B$3:$C$13,$B$3:$B$13),0)</f>
        <v>#REF!</v>
      </c>
      <c r="J47" s="80" t="e">
        <f>H47-I47</f>
        <v>#REF!</v>
      </c>
      <c r="K47" s="81" t="e">
        <f>IF(H47&gt;0,LOOKUP(H47,$B$3:$C$11,$E$3:$E$11),0)</f>
        <v>#REF!</v>
      </c>
      <c r="L47" s="97" t="e">
        <f>J47*K47</f>
        <v>#REF!</v>
      </c>
      <c r="M47" s="97" t="e">
        <f>IF(H47&gt;0,LOOKUP(H47,$B$3:$C$13,$D$3:$D$13),0)</f>
        <v>#REF!</v>
      </c>
      <c r="N47" s="98" t="e">
        <f>M47+L47</f>
        <v>#REF!</v>
      </c>
      <c r="O47" s="80" t="e">
        <f>IF(H47&gt;0,LOOKUP(H47,$B$18:$C$28,$D$18:$D$28),0)</f>
        <v>#REF!</v>
      </c>
      <c r="P47" s="80" t="e">
        <f>IF(N47&gt;O47,N47-O47,0)</f>
        <v>#REF!</v>
      </c>
      <c r="Q47" s="80" t="e">
        <f>IF(N47&lt;O47,N47-O47,0)</f>
        <v>#REF!</v>
      </c>
    </row>
    <row r="48" spans="1:17" ht="15">
      <c r="A48" s="79" t="s">
        <v>57</v>
      </c>
      <c r="B48" s="79" t="s">
        <v>67</v>
      </c>
      <c r="C48" s="85">
        <v>1669.9082500000002</v>
      </c>
      <c r="D48" s="86" t="e">
        <f>'31 DE AGOSTO'!O8</f>
        <v>#REF!</v>
      </c>
      <c r="E48" s="85" t="e">
        <f aca="true" t="shared" si="13" ref="E48:E54">C48+D48</f>
        <v>#REF!</v>
      </c>
      <c r="F48" s="75">
        <v>0</v>
      </c>
      <c r="G48" s="85" t="e">
        <f aca="true" t="shared" si="14" ref="G48:G54">E48</f>
        <v>#REF!</v>
      </c>
      <c r="H48" s="85" t="e">
        <f aca="true" t="shared" si="15" ref="H48:H54">G48</f>
        <v>#REF!</v>
      </c>
      <c r="I48" s="80" t="e">
        <f aca="true" t="shared" si="16" ref="I48:I54">IF(H48&gt;0,LOOKUP(H48,$B$3:$C$13,$B$3:$B$13),0)</f>
        <v>#REF!</v>
      </c>
      <c r="J48" s="80" t="e">
        <f aca="true" t="shared" si="17" ref="J48:J54">H48-I48</f>
        <v>#REF!</v>
      </c>
      <c r="K48" s="81" t="e">
        <f aca="true" t="shared" si="18" ref="K48:K54">IF(H48&gt;0,LOOKUP(H48,$B$3:$C$11,$E$3:$E$11),0)</f>
        <v>#REF!</v>
      </c>
      <c r="L48" s="97" t="e">
        <f aca="true" t="shared" si="19" ref="L48:L54">J48*K48</f>
        <v>#REF!</v>
      </c>
      <c r="M48" s="97" t="e">
        <f aca="true" t="shared" si="20" ref="M48:M54">IF(H48&gt;0,LOOKUP(H48,$B$3:$C$13,$D$3:$D$13),0)</f>
        <v>#REF!</v>
      </c>
      <c r="N48" s="98" t="e">
        <f aca="true" t="shared" si="21" ref="N48:N54">M48+L48</f>
        <v>#REF!</v>
      </c>
      <c r="O48" s="80" t="e">
        <f aca="true" t="shared" si="22" ref="O48:O54">IF(H48&gt;0,LOOKUP(H48,$B$18:$C$28,$D$18:$D$28),0)</f>
        <v>#REF!</v>
      </c>
      <c r="P48" s="80" t="e">
        <f aca="true" t="shared" si="23" ref="P48:P54">IF(N48&gt;O48,N48-O48,0)</f>
        <v>#REF!</v>
      </c>
      <c r="Q48" s="80" t="e">
        <f aca="true" t="shared" si="24" ref="Q48:Q54">IF(N48&lt;O48,N48-O48,0)</f>
        <v>#REF!</v>
      </c>
    </row>
    <row r="49" spans="1:17" ht="15">
      <c r="A49" s="79" t="s">
        <v>57</v>
      </c>
      <c r="B49" s="79" t="s">
        <v>68</v>
      </c>
      <c r="C49" s="85">
        <v>1733.7508750000002</v>
      </c>
      <c r="D49" s="86" t="e">
        <f>'31 DE AGOSTO'!O9</f>
        <v>#REF!</v>
      </c>
      <c r="E49" s="85" t="e">
        <f t="shared" si="13"/>
        <v>#REF!</v>
      </c>
      <c r="F49" s="75">
        <v>0</v>
      </c>
      <c r="G49" s="85" t="e">
        <f t="shared" si="14"/>
        <v>#REF!</v>
      </c>
      <c r="H49" s="85" t="e">
        <f t="shared" si="15"/>
        <v>#REF!</v>
      </c>
      <c r="I49" s="80" t="e">
        <f t="shared" si="16"/>
        <v>#REF!</v>
      </c>
      <c r="J49" s="80" t="e">
        <f t="shared" si="17"/>
        <v>#REF!</v>
      </c>
      <c r="K49" s="81" t="e">
        <f t="shared" si="18"/>
        <v>#REF!</v>
      </c>
      <c r="L49" s="97" t="e">
        <f t="shared" si="19"/>
        <v>#REF!</v>
      </c>
      <c r="M49" s="97" t="e">
        <f t="shared" si="20"/>
        <v>#REF!</v>
      </c>
      <c r="N49" s="98" t="e">
        <f t="shared" si="21"/>
        <v>#REF!</v>
      </c>
      <c r="O49" s="80" t="e">
        <f t="shared" si="22"/>
        <v>#REF!</v>
      </c>
      <c r="P49" s="80" t="e">
        <f t="shared" si="23"/>
        <v>#REF!</v>
      </c>
      <c r="Q49" s="80" t="e">
        <f t="shared" si="24"/>
        <v>#REF!</v>
      </c>
    </row>
    <row r="50" spans="1:17" ht="15">
      <c r="A50" s="79" t="s">
        <v>57</v>
      </c>
      <c r="B50" s="79" t="s">
        <v>69</v>
      </c>
      <c r="C50" s="85">
        <v>1905.6581874999997</v>
      </c>
      <c r="D50" s="86" t="e">
        <f>'31 DE AGOSTO'!O10</f>
        <v>#REF!</v>
      </c>
      <c r="E50" s="85" t="e">
        <f t="shared" si="13"/>
        <v>#REF!</v>
      </c>
      <c r="F50" s="75">
        <v>0</v>
      </c>
      <c r="G50" s="85" t="e">
        <f t="shared" si="14"/>
        <v>#REF!</v>
      </c>
      <c r="H50" s="85" t="e">
        <f t="shared" si="15"/>
        <v>#REF!</v>
      </c>
      <c r="I50" s="80" t="e">
        <f t="shared" si="16"/>
        <v>#REF!</v>
      </c>
      <c r="J50" s="80" t="e">
        <f t="shared" si="17"/>
        <v>#REF!</v>
      </c>
      <c r="K50" s="81" t="e">
        <f t="shared" si="18"/>
        <v>#REF!</v>
      </c>
      <c r="L50" s="97" t="e">
        <f t="shared" si="19"/>
        <v>#REF!</v>
      </c>
      <c r="M50" s="97" t="e">
        <f t="shared" si="20"/>
        <v>#REF!</v>
      </c>
      <c r="N50" s="98" t="e">
        <f t="shared" si="21"/>
        <v>#REF!</v>
      </c>
      <c r="O50" s="80" t="e">
        <f t="shared" si="22"/>
        <v>#REF!</v>
      </c>
      <c r="P50" s="80" t="e">
        <f t="shared" si="23"/>
        <v>#REF!</v>
      </c>
      <c r="Q50" s="80" t="e">
        <f t="shared" si="24"/>
        <v>#REF!</v>
      </c>
    </row>
    <row r="51" spans="1:17" ht="15">
      <c r="A51" s="79" t="s">
        <v>57</v>
      </c>
      <c r="B51" s="79" t="s">
        <v>81</v>
      </c>
      <c r="C51" s="85">
        <v>1162.8325</v>
      </c>
      <c r="D51" s="86" t="e">
        <f>'31 DE AGOSTO'!O11</f>
        <v>#REF!</v>
      </c>
      <c r="E51" s="85" t="e">
        <f t="shared" si="13"/>
        <v>#REF!</v>
      </c>
      <c r="F51" s="75">
        <v>0</v>
      </c>
      <c r="G51" s="85" t="e">
        <f t="shared" si="14"/>
        <v>#REF!</v>
      </c>
      <c r="H51" s="85" t="e">
        <f t="shared" si="15"/>
        <v>#REF!</v>
      </c>
      <c r="I51" s="80" t="e">
        <f t="shared" si="16"/>
        <v>#REF!</v>
      </c>
      <c r="J51" s="80" t="e">
        <f t="shared" si="17"/>
        <v>#REF!</v>
      </c>
      <c r="K51" s="81" t="e">
        <f t="shared" si="18"/>
        <v>#REF!</v>
      </c>
      <c r="L51" s="97" t="e">
        <f t="shared" si="19"/>
        <v>#REF!</v>
      </c>
      <c r="M51" s="97" t="e">
        <f t="shared" si="20"/>
        <v>#REF!</v>
      </c>
      <c r="N51" s="98" t="e">
        <f t="shared" si="21"/>
        <v>#REF!</v>
      </c>
      <c r="O51" s="80" t="e">
        <f t="shared" si="22"/>
        <v>#REF!</v>
      </c>
      <c r="P51" s="80" t="e">
        <f t="shared" si="23"/>
        <v>#REF!</v>
      </c>
      <c r="Q51" s="80" t="e">
        <f t="shared" si="24"/>
        <v>#REF!</v>
      </c>
    </row>
    <row r="52" spans="1:17" ht="15">
      <c r="A52" s="79" t="s">
        <v>57</v>
      </c>
      <c r="B52" s="79" t="s">
        <v>84</v>
      </c>
      <c r="C52" s="85">
        <v>1162.8325</v>
      </c>
      <c r="D52" s="86" t="e">
        <f>'31 DE AGOSTO'!O12</f>
        <v>#REF!</v>
      </c>
      <c r="E52" s="85" t="e">
        <f t="shared" si="13"/>
        <v>#REF!</v>
      </c>
      <c r="F52" s="75">
        <v>0</v>
      </c>
      <c r="G52" s="85" t="e">
        <f t="shared" si="14"/>
        <v>#REF!</v>
      </c>
      <c r="H52" s="85" t="e">
        <f t="shared" si="15"/>
        <v>#REF!</v>
      </c>
      <c r="I52" s="80" t="e">
        <f t="shared" si="16"/>
        <v>#REF!</v>
      </c>
      <c r="J52" s="80" t="e">
        <f t="shared" si="17"/>
        <v>#REF!</v>
      </c>
      <c r="K52" s="81" t="e">
        <f t="shared" si="18"/>
        <v>#REF!</v>
      </c>
      <c r="L52" s="97" t="e">
        <f t="shared" si="19"/>
        <v>#REF!</v>
      </c>
      <c r="M52" s="97" t="e">
        <f t="shared" si="20"/>
        <v>#REF!</v>
      </c>
      <c r="N52" s="98" t="e">
        <f t="shared" si="21"/>
        <v>#REF!</v>
      </c>
      <c r="O52" s="80" t="e">
        <f t="shared" si="22"/>
        <v>#REF!</v>
      </c>
      <c r="P52" s="80" t="e">
        <f t="shared" si="23"/>
        <v>#REF!</v>
      </c>
      <c r="Q52" s="80" t="e">
        <f t="shared" si="24"/>
        <v>#REF!</v>
      </c>
    </row>
    <row r="53" spans="1:17" ht="15">
      <c r="A53" s="79" t="s">
        <v>57</v>
      </c>
      <c r="B53" s="79" t="s">
        <v>92</v>
      </c>
      <c r="C53" s="85">
        <v>1520.0425</v>
      </c>
      <c r="D53" s="86">
        <f>'31 DE AGOSTO'!O13</f>
        <v>1858.7119999999998</v>
      </c>
      <c r="E53" s="85">
        <f t="shared" si="13"/>
        <v>3378.7545</v>
      </c>
      <c r="F53" s="75">
        <v>0</v>
      </c>
      <c r="G53" s="85">
        <f t="shared" si="14"/>
        <v>3378.7545</v>
      </c>
      <c r="H53" s="85">
        <f t="shared" si="15"/>
        <v>3378.7545</v>
      </c>
      <c r="I53" s="80">
        <f t="shared" si="16"/>
        <v>496.08</v>
      </c>
      <c r="J53" s="80">
        <f t="shared" si="17"/>
        <v>2882.6745</v>
      </c>
      <c r="K53" s="81">
        <f t="shared" si="18"/>
        <v>0.064</v>
      </c>
      <c r="L53" s="97">
        <f t="shared" si="19"/>
        <v>184.49116800000002</v>
      </c>
      <c r="M53" s="97">
        <f t="shared" si="20"/>
        <v>9.52</v>
      </c>
      <c r="N53" s="98">
        <f t="shared" si="21"/>
        <v>194.01116800000003</v>
      </c>
      <c r="O53" s="80">
        <f t="shared" si="22"/>
        <v>406.62</v>
      </c>
      <c r="P53" s="80">
        <f t="shared" si="23"/>
        <v>0</v>
      </c>
      <c r="Q53" s="80">
        <f t="shared" si="24"/>
        <v>-212.60883199999998</v>
      </c>
    </row>
    <row r="54" spans="1:17" ht="15">
      <c r="A54" s="79" t="s">
        <v>57</v>
      </c>
      <c r="B54" s="79" t="s">
        <v>87</v>
      </c>
      <c r="C54" s="85">
        <v>1577.0462500000003</v>
      </c>
      <c r="D54" s="86" t="e">
        <f>'31 DE AGOSTO'!O14</f>
        <v>#REF!</v>
      </c>
      <c r="E54" s="85" t="e">
        <f t="shared" si="13"/>
        <v>#REF!</v>
      </c>
      <c r="F54" s="75">
        <v>0</v>
      </c>
      <c r="G54" s="85" t="e">
        <f t="shared" si="14"/>
        <v>#REF!</v>
      </c>
      <c r="H54" s="85" t="e">
        <f t="shared" si="15"/>
        <v>#REF!</v>
      </c>
      <c r="I54" s="80" t="e">
        <f t="shared" si="16"/>
        <v>#REF!</v>
      </c>
      <c r="J54" s="80" t="e">
        <f t="shared" si="17"/>
        <v>#REF!</v>
      </c>
      <c r="K54" s="81" t="e">
        <f t="shared" si="18"/>
        <v>#REF!</v>
      </c>
      <c r="L54" s="97" t="e">
        <f t="shared" si="19"/>
        <v>#REF!</v>
      </c>
      <c r="M54" s="97" t="e">
        <f t="shared" si="20"/>
        <v>#REF!</v>
      </c>
      <c r="N54" s="98" t="e">
        <f t="shared" si="21"/>
        <v>#REF!</v>
      </c>
      <c r="O54" s="80" t="e">
        <f t="shared" si="22"/>
        <v>#REF!</v>
      </c>
      <c r="P54" s="80" t="e">
        <f t="shared" si="23"/>
        <v>#REF!</v>
      </c>
      <c r="Q54" s="80" t="e">
        <f t="shared" si="24"/>
        <v>#REF!</v>
      </c>
    </row>
    <row r="55" spans="1:16" ht="15">
      <c r="A55" s="79"/>
      <c r="B55" s="79"/>
      <c r="C55" s="85"/>
      <c r="D55" s="86"/>
      <c r="E55" s="75"/>
      <c r="F55" s="75"/>
      <c r="G55" s="75"/>
      <c r="H55" s="75"/>
      <c r="I55" s="84"/>
      <c r="J55" s="75"/>
      <c r="K55" s="75"/>
      <c r="L55" s="75"/>
      <c r="M55" s="75"/>
      <c r="N55" s="75"/>
      <c r="O55" s="75"/>
      <c r="P55" s="53"/>
    </row>
    <row r="56" spans="1:16" ht="15">
      <c r="A56" s="79"/>
      <c r="B56" s="79"/>
      <c r="C56" s="85"/>
      <c r="D56" s="86"/>
      <c r="E56" s="75"/>
      <c r="F56" s="75"/>
      <c r="G56" s="75"/>
      <c r="H56" s="75"/>
      <c r="I56" s="84"/>
      <c r="J56" s="75"/>
      <c r="K56" s="75"/>
      <c r="L56" s="75"/>
      <c r="M56" s="75"/>
      <c r="N56" s="75"/>
      <c r="O56" s="75"/>
      <c r="P56" s="53"/>
    </row>
    <row r="57" spans="1:16" ht="15">
      <c r="A57" s="79"/>
      <c r="B57" s="79"/>
      <c r="C57" s="85"/>
      <c r="D57" s="86"/>
      <c r="E57" s="75"/>
      <c r="F57" s="75"/>
      <c r="G57" s="75"/>
      <c r="H57" s="75"/>
      <c r="I57" s="84"/>
      <c r="J57" s="75"/>
      <c r="K57" s="75"/>
      <c r="L57" s="75"/>
      <c r="M57" s="75"/>
      <c r="N57" s="75"/>
      <c r="O57" s="75"/>
      <c r="P57" s="53"/>
    </row>
    <row r="58" spans="1:16" ht="15">
      <c r="A58" s="79"/>
      <c r="B58" s="79"/>
      <c r="C58" s="85"/>
      <c r="D58" s="86"/>
      <c r="E58" s="75"/>
      <c r="F58" s="75"/>
      <c r="G58" s="75"/>
      <c r="H58" s="75"/>
      <c r="I58" s="84"/>
      <c r="J58" s="75"/>
      <c r="K58" s="75"/>
      <c r="L58" s="75"/>
      <c r="M58" s="75"/>
      <c r="N58" s="75"/>
      <c r="O58" s="75"/>
      <c r="P58" s="53"/>
    </row>
    <row r="59" spans="1:16" ht="15">
      <c r="A59" s="79"/>
      <c r="B59" s="79"/>
      <c r="C59" s="85"/>
      <c r="D59" s="86"/>
      <c r="E59" s="75"/>
      <c r="F59" s="75"/>
      <c r="G59" s="75"/>
      <c r="H59" s="75"/>
      <c r="I59" s="84"/>
      <c r="J59" s="75"/>
      <c r="K59" s="75"/>
      <c r="L59" s="75"/>
      <c r="M59" s="75"/>
      <c r="N59" s="75"/>
      <c r="O59" s="75"/>
      <c r="P59" s="53"/>
    </row>
    <row r="60" spans="1:16" ht="15">
      <c r="A60" s="79"/>
      <c r="B60" s="79"/>
      <c r="C60" s="85"/>
      <c r="D60" s="86"/>
      <c r="E60" s="75"/>
      <c r="F60" s="75"/>
      <c r="G60" s="75"/>
      <c r="H60" s="75"/>
      <c r="I60" s="84"/>
      <c r="J60" s="75"/>
      <c r="K60" s="75"/>
      <c r="L60" s="75"/>
      <c r="M60" s="75"/>
      <c r="N60" s="75"/>
      <c r="O60" s="75"/>
      <c r="P60" s="53"/>
    </row>
    <row r="61" spans="1:16" ht="15">
      <c r="A61" s="79"/>
      <c r="B61" s="79"/>
      <c r="C61" s="85"/>
      <c r="D61" s="86"/>
      <c r="E61" s="75"/>
      <c r="F61" s="75"/>
      <c r="G61" s="75"/>
      <c r="H61" s="75"/>
      <c r="I61" s="84"/>
      <c r="J61" s="75"/>
      <c r="K61" s="75"/>
      <c r="L61" s="75"/>
      <c r="M61" s="75"/>
      <c r="N61" s="75"/>
      <c r="O61" s="75"/>
      <c r="P61" s="53"/>
    </row>
    <row r="62" spans="1:16" ht="15">
      <c r="A62" s="79"/>
      <c r="B62" s="79"/>
      <c r="C62" s="85"/>
      <c r="D62" s="86"/>
      <c r="E62" s="75"/>
      <c r="F62" s="75"/>
      <c r="G62" s="75"/>
      <c r="H62" s="75"/>
      <c r="I62" s="84"/>
      <c r="J62" s="75"/>
      <c r="K62" s="75"/>
      <c r="L62" s="75"/>
      <c r="M62" s="75"/>
      <c r="N62" s="75"/>
      <c r="O62" s="75"/>
      <c r="P62" s="53"/>
    </row>
    <row r="63" spans="1:16" ht="15">
      <c r="A63" s="79"/>
      <c r="B63" s="79"/>
      <c r="C63" s="85"/>
      <c r="D63" s="86"/>
      <c r="E63" s="75"/>
      <c r="F63" s="75"/>
      <c r="G63" s="75"/>
      <c r="H63" s="75"/>
      <c r="I63" s="84"/>
      <c r="J63" s="75"/>
      <c r="K63" s="75"/>
      <c r="L63" s="75"/>
      <c r="M63" s="75"/>
      <c r="N63" s="75"/>
      <c r="O63" s="75"/>
      <c r="P63" s="53"/>
    </row>
    <row r="64" spans="1:16" ht="15">
      <c r="A64" s="79"/>
      <c r="B64" s="79"/>
      <c r="C64" s="85"/>
      <c r="D64" s="86"/>
      <c r="E64" s="75"/>
      <c r="F64" s="75"/>
      <c r="G64" s="75"/>
      <c r="H64" s="75"/>
      <c r="I64" s="84"/>
      <c r="J64" s="75"/>
      <c r="K64" s="75"/>
      <c r="L64" s="75"/>
      <c r="M64" s="75"/>
      <c r="N64" s="75"/>
      <c r="O64" s="75"/>
      <c r="P64" s="53"/>
    </row>
    <row r="65" spans="1:16" ht="15">
      <c r="A65" s="79"/>
      <c r="B65" s="79"/>
      <c r="C65" s="85"/>
      <c r="D65" s="86"/>
      <c r="E65" s="75"/>
      <c r="F65" s="75"/>
      <c r="G65" s="75"/>
      <c r="H65" s="75"/>
      <c r="I65" s="84"/>
      <c r="J65" s="75"/>
      <c r="K65" s="75"/>
      <c r="L65" s="75"/>
      <c r="M65" s="75"/>
      <c r="N65" s="75"/>
      <c r="O65" s="75"/>
      <c r="P65" s="53"/>
    </row>
    <row r="66" spans="1:16" ht="15">
      <c r="A66" s="79"/>
      <c r="B66" s="79"/>
      <c r="C66" s="85"/>
      <c r="D66" s="86"/>
      <c r="E66" s="75"/>
      <c r="F66" s="75"/>
      <c r="G66" s="75"/>
      <c r="H66" s="75"/>
      <c r="I66" s="84"/>
      <c r="J66" s="75"/>
      <c r="K66" s="75"/>
      <c r="L66" s="75"/>
      <c r="M66" s="75"/>
      <c r="N66" s="75"/>
      <c r="O66" s="75"/>
      <c r="P66" s="53"/>
    </row>
    <row r="67" spans="1:16" ht="15">
      <c r="A67" s="79"/>
      <c r="B67" s="79"/>
      <c r="C67" s="75"/>
      <c r="D67" s="75"/>
      <c r="E67" s="75"/>
      <c r="F67" s="75"/>
      <c r="G67" s="75"/>
      <c r="H67" s="75"/>
      <c r="I67" s="84"/>
      <c r="J67" s="75"/>
      <c r="K67" s="75"/>
      <c r="L67" s="75"/>
      <c r="M67" s="75"/>
      <c r="N67" s="75"/>
      <c r="O67" s="75"/>
      <c r="P67" s="53"/>
    </row>
    <row r="68" spans="1:16" ht="15">
      <c r="A68" s="79"/>
      <c r="B68" s="79"/>
      <c r="C68" s="75"/>
      <c r="D68" s="75"/>
      <c r="E68" s="75"/>
      <c r="F68" s="75"/>
      <c r="G68" s="75"/>
      <c r="H68" s="75"/>
      <c r="I68" s="84"/>
      <c r="J68" s="75"/>
      <c r="K68" s="75"/>
      <c r="L68" s="75"/>
      <c r="M68" s="75"/>
      <c r="N68" s="75"/>
      <c r="O68" s="75"/>
      <c r="P68" s="53"/>
    </row>
    <row r="69" spans="1:16" ht="15">
      <c r="A69" s="79"/>
      <c r="B69" s="79"/>
      <c r="C69" s="85"/>
      <c r="D69" s="86"/>
      <c r="E69" s="75"/>
      <c r="F69" s="75"/>
      <c r="G69" s="75"/>
      <c r="H69" s="75"/>
      <c r="I69" s="84"/>
      <c r="J69" s="75"/>
      <c r="K69" s="75"/>
      <c r="L69" s="75"/>
      <c r="M69" s="75"/>
      <c r="N69" s="75"/>
      <c r="O69" s="75"/>
      <c r="P69" s="53"/>
    </row>
    <row r="70" spans="1:16" ht="15">
      <c r="A70" s="79"/>
      <c r="B70" s="79"/>
      <c r="C70" s="85"/>
      <c r="D70" s="86"/>
      <c r="E70" s="75"/>
      <c r="F70" s="75"/>
      <c r="G70" s="75"/>
      <c r="H70" s="75"/>
      <c r="I70" s="84"/>
      <c r="J70" s="75"/>
      <c r="K70" s="75"/>
      <c r="L70" s="75"/>
      <c r="M70" s="75"/>
      <c r="N70" s="75"/>
      <c r="O70" s="75"/>
      <c r="P70" s="53"/>
    </row>
    <row r="71" spans="1:16" ht="15">
      <c r="A71" s="79"/>
      <c r="B71" s="79"/>
      <c r="C71" s="85"/>
      <c r="D71" s="86"/>
      <c r="E71" s="75"/>
      <c r="F71" s="75"/>
      <c r="G71" s="75"/>
      <c r="H71" s="75"/>
      <c r="I71" s="84"/>
      <c r="J71" s="75"/>
      <c r="K71" s="75"/>
      <c r="L71" s="75"/>
      <c r="M71" s="75"/>
      <c r="N71" s="75"/>
      <c r="O71" s="75"/>
      <c r="P71" s="53"/>
    </row>
    <row r="72" spans="1:16" ht="15">
      <c r="A72" s="79"/>
      <c r="B72" s="79"/>
      <c r="C72" s="85"/>
      <c r="D72" s="86"/>
      <c r="E72" s="75"/>
      <c r="F72" s="75"/>
      <c r="G72" s="75"/>
      <c r="H72" s="75"/>
      <c r="I72" s="84"/>
      <c r="J72" s="75"/>
      <c r="K72" s="75"/>
      <c r="L72" s="75"/>
      <c r="M72" s="75"/>
      <c r="N72" s="75"/>
      <c r="O72" s="75"/>
      <c r="P72" s="53"/>
    </row>
    <row r="73" spans="3:16" ht="1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3:16" ht="1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3:16" ht="15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3:16" ht="15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3:16" ht="15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3:16" ht="1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3:16" ht="1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3:16" ht="1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3:16" ht="1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3:16" ht="1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3:16" ht="1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3:16" ht="1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3:16" ht="1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3:16" ht="1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</sheetData>
  <sheetProtection/>
  <mergeCells count="7">
    <mergeCell ref="H15:M15"/>
    <mergeCell ref="H16:I16"/>
    <mergeCell ref="J16:K16"/>
    <mergeCell ref="L16:M16"/>
    <mergeCell ref="H17:I17"/>
    <mergeCell ref="J17:K17"/>
    <mergeCell ref="L17:M1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40"/>
  <sheetViews>
    <sheetView view="pageBreakPreview" zoomScale="60" zoomScalePageLayoutView="0" workbookViewId="0" topLeftCell="A1">
      <pane xSplit="2" topLeftCell="G1" activePane="topRight" state="frozen"/>
      <selection pane="topLeft" activeCell="A4" sqref="A4"/>
      <selection pane="topRight" activeCell="N7" sqref="N7:N14"/>
    </sheetView>
  </sheetViews>
  <sheetFormatPr defaultColWidth="11.421875" defaultRowHeight="15"/>
  <cols>
    <col min="1" max="1" width="7.57421875" style="88" customWidth="1"/>
    <col min="2" max="2" width="38.57421875" style="0" customWidth="1"/>
    <col min="3" max="3" width="16.57421875" style="0" customWidth="1"/>
    <col min="4" max="4" width="13.00390625" style="0" customWidth="1"/>
    <col min="5" max="5" width="15.00390625" style="0" customWidth="1"/>
    <col min="6" max="6" width="23.7109375" style="87" customWidth="1"/>
    <col min="7" max="7" width="13.00390625" style="87" customWidth="1"/>
    <col min="8" max="8" width="13.00390625" style="0" customWidth="1"/>
    <col min="9" max="9" width="15.57421875" style="0" customWidth="1"/>
    <col min="10" max="10" width="14.7109375" style="0" customWidth="1"/>
    <col min="11" max="12" width="13.00390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96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16</v>
      </c>
      <c r="J7" s="38" t="e">
        <f>G7*I7</f>
        <v>#REF!</v>
      </c>
      <c r="K7" s="38" t="e">
        <f>J7*0.1</f>
        <v>#REF!</v>
      </c>
      <c r="L7" s="38" t="e">
        <f>J7*0.1</f>
        <v>#REF!</v>
      </c>
      <c r="M7" s="38" t="e">
        <f>J7*0.15</f>
        <v>#REF!</v>
      </c>
      <c r="N7" s="38">
        <v>248</v>
      </c>
      <c r="O7" s="38" t="e">
        <f>SUM(J7:N7)</f>
        <v>#REF!</v>
      </c>
      <c r="P7" s="31" t="e">
        <f>'calculo ISR'!N47-'calculo ISR'!N34</f>
        <v>#REF!</v>
      </c>
      <c r="Q7" s="31" t="e">
        <f>'calculo ISR'!O47-'calculo ISR'!O34</f>
        <v>#REF!</v>
      </c>
      <c r="R7" s="31">
        <v>0</v>
      </c>
      <c r="S7" s="31" t="e">
        <f>P7-Q7</f>
        <v>#REF!</v>
      </c>
      <c r="T7" s="31"/>
      <c r="U7" s="31" t="e">
        <f aca="true" t="shared" si="0" ref="U7:U14">R7+S7+T7</f>
        <v>#REF!</v>
      </c>
      <c r="V7" s="31" t="e">
        <f>O7-U7</f>
        <v>#REF!</v>
      </c>
      <c r="W7" s="31"/>
      <c r="X7" s="31" t="e">
        <f>V7-W7</f>
        <v>#REF!</v>
      </c>
      <c r="Y7" s="58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16</v>
      </c>
      <c r="J8" s="38" t="e">
        <f aca="true" t="shared" si="1" ref="J8:J14">G8*I8</f>
        <v>#REF!</v>
      </c>
      <c r="K8" s="38" t="e">
        <f aca="true" t="shared" si="2" ref="K8:K13">J8*0.1</f>
        <v>#REF!</v>
      </c>
      <c r="L8" s="38" t="e">
        <f aca="true" t="shared" si="3" ref="L8:L14">J8*0.1</f>
        <v>#REF!</v>
      </c>
      <c r="M8" s="38" t="e">
        <f aca="true" t="shared" si="4" ref="M8:M14">J8*0.15</f>
        <v>#REF!</v>
      </c>
      <c r="N8" s="38">
        <v>248</v>
      </c>
      <c r="O8" s="38" t="e">
        <f aca="true" t="shared" si="5" ref="O8:O14">SUM(J8:N8)</f>
        <v>#REF!</v>
      </c>
      <c r="P8" s="31" t="e">
        <f>'calculo ISR'!N48-'calculo ISR'!N35</f>
        <v>#REF!</v>
      </c>
      <c r="Q8" s="31" t="e">
        <f>'calculo ISR'!O48-'calculo ISR'!O35</f>
        <v>#REF!</v>
      </c>
      <c r="R8" s="31">
        <v>0</v>
      </c>
      <c r="S8" s="31" t="e">
        <f aca="true" t="shared" si="6" ref="S8:S14">P8-Q8</f>
        <v>#REF!</v>
      </c>
      <c r="T8" s="31"/>
      <c r="U8" s="31" t="e">
        <f t="shared" si="0"/>
        <v>#REF!</v>
      </c>
      <c r="V8" s="31" t="e">
        <f aca="true" t="shared" si="7" ref="V8:V14">O8-U8</f>
        <v>#REF!</v>
      </c>
      <c r="W8" s="31"/>
      <c r="X8" s="31" t="e">
        <f aca="true" t="shared" si="8" ref="X8:X14">V8-W8</f>
        <v>#REF!</v>
      </c>
      <c r="Y8" s="58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16</v>
      </c>
      <c r="J9" s="38" t="e">
        <f t="shared" si="1"/>
        <v>#REF!</v>
      </c>
      <c r="K9" s="38" t="e">
        <f t="shared" si="2"/>
        <v>#REF!</v>
      </c>
      <c r="L9" s="38" t="e">
        <f t="shared" si="3"/>
        <v>#REF!</v>
      </c>
      <c r="M9" s="38" t="e">
        <f t="shared" si="4"/>
        <v>#REF!</v>
      </c>
      <c r="N9" s="38">
        <v>248</v>
      </c>
      <c r="O9" s="38" t="e">
        <f t="shared" si="5"/>
        <v>#REF!</v>
      </c>
      <c r="P9" s="40" t="e">
        <f>'calculo ISR'!N49-'calculo ISR'!N36</f>
        <v>#REF!</v>
      </c>
      <c r="Q9" s="31" t="e">
        <f>'calculo ISR'!O49-'calculo ISR'!O36</f>
        <v>#REF!</v>
      </c>
      <c r="R9" s="31">
        <v>0</v>
      </c>
      <c r="S9" s="31" t="e">
        <f t="shared" si="6"/>
        <v>#REF!</v>
      </c>
      <c r="T9" s="31"/>
      <c r="U9" s="31" t="e">
        <f t="shared" si="0"/>
        <v>#REF!</v>
      </c>
      <c r="V9" s="31" t="e">
        <f t="shared" si="7"/>
        <v>#REF!</v>
      </c>
      <c r="W9" s="31"/>
      <c r="X9" s="31" t="e">
        <f t="shared" si="8"/>
        <v>#REF!</v>
      </c>
      <c r="Y9" s="58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16</v>
      </c>
      <c r="J10" s="38" t="e">
        <f t="shared" si="1"/>
        <v>#REF!</v>
      </c>
      <c r="K10" s="38" t="e">
        <f t="shared" si="2"/>
        <v>#REF!</v>
      </c>
      <c r="L10" s="38" t="e">
        <f t="shared" si="3"/>
        <v>#REF!</v>
      </c>
      <c r="M10" s="38" t="e">
        <f t="shared" si="4"/>
        <v>#REF!</v>
      </c>
      <c r="N10" s="38">
        <v>248</v>
      </c>
      <c r="O10" s="38" t="e">
        <f t="shared" si="5"/>
        <v>#REF!</v>
      </c>
      <c r="P10" s="31" t="e">
        <f>'calculo ISR'!N50-'calculo ISR'!N37</f>
        <v>#REF!</v>
      </c>
      <c r="Q10" s="31" t="e">
        <f>'calculo ISR'!O50-'calculo ISR'!O37</f>
        <v>#REF!</v>
      </c>
      <c r="R10" s="31">
        <v>0</v>
      </c>
      <c r="S10" s="31" t="e">
        <f t="shared" si="6"/>
        <v>#REF!</v>
      </c>
      <c r="T10" s="31"/>
      <c r="U10" s="31" t="e">
        <f t="shared" si="0"/>
        <v>#REF!</v>
      </c>
      <c r="V10" s="31" t="e">
        <f t="shared" si="7"/>
        <v>#REF!</v>
      </c>
      <c r="W10" s="31"/>
      <c r="X10" s="31" t="e">
        <f>V10-W10</f>
        <v>#REF!</v>
      </c>
      <c r="Y10" s="60">
        <v>2714169867</v>
      </c>
      <c r="Z10" s="40"/>
      <c r="AA10" s="56"/>
      <c r="AB10" s="25"/>
      <c r="AC10" s="25"/>
      <c r="AD10" s="25"/>
      <c r="AE10" s="25"/>
    </row>
    <row r="11" spans="1:31" ht="15.7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16</v>
      </c>
      <c r="J11" s="38" t="e">
        <f t="shared" si="1"/>
        <v>#REF!</v>
      </c>
      <c r="K11" s="38" t="e">
        <f t="shared" si="2"/>
        <v>#REF!</v>
      </c>
      <c r="L11" s="38" t="e">
        <f t="shared" si="3"/>
        <v>#REF!</v>
      </c>
      <c r="M11" s="38" t="e">
        <f t="shared" si="4"/>
        <v>#REF!</v>
      </c>
      <c r="N11" s="38">
        <v>244</v>
      </c>
      <c r="O11" s="38" t="e">
        <f t="shared" si="5"/>
        <v>#REF!</v>
      </c>
      <c r="P11" s="31" t="e">
        <f>'calculo ISR'!N51-'calculo ISR'!N38</f>
        <v>#REF!</v>
      </c>
      <c r="Q11" s="40" t="e">
        <f>'calculo ISR'!O51-'calculo ISR'!O38</f>
        <v>#REF!</v>
      </c>
      <c r="R11" s="31">
        <v>0</v>
      </c>
      <c r="S11" s="31" t="e">
        <f t="shared" si="6"/>
        <v>#REF!</v>
      </c>
      <c r="T11" s="31"/>
      <c r="U11" s="31" t="e">
        <f t="shared" si="0"/>
        <v>#REF!</v>
      </c>
      <c r="V11" s="31" t="e">
        <f t="shared" si="7"/>
        <v>#REF!</v>
      </c>
      <c r="W11" s="31"/>
      <c r="X11" s="31" t="e">
        <f t="shared" si="8"/>
        <v>#REF!</v>
      </c>
      <c r="Y11" s="64">
        <v>2753982734</v>
      </c>
      <c r="Z11" s="40"/>
      <c r="AA11" s="57"/>
      <c r="AB11" s="25"/>
      <c r="AC11" s="25"/>
      <c r="AD11" s="25"/>
      <c r="AE11" s="25"/>
    </row>
    <row r="12" spans="1:31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16</v>
      </c>
      <c r="J12" s="38" t="e">
        <f t="shared" si="1"/>
        <v>#REF!</v>
      </c>
      <c r="K12" s="38" t="e">
        <f t="shared" si="2"/>
        <v>#REF!</v>
      </c>
      <c r="L12" s="38" t="e">
        <f t="shared" si="3"/>
        <v>#REF!</v>
      </c>
      <c r="M12" s="38" t="e">
        <f t="shared" si="4"/>
        <v>#REF!</v>
      </c>
      <c r="N12" s="38">
        <v>244</v>
      </c>
      <c r="O12" s="38" t="e">
        <f t="shared" si="5"/>
        <v>#REF!</v>
      </c>
      <c r="P12" s="31" t="e">
        <f>'calculo ISR'!N52-'calculo ISR'!N39</f>
        <v>#REF!</v>
      </c>
      <c r="Q12" s="31" t="e">
        <f>'calculo ISR'!O52-'calculo ISR'!O39</f>
        <v>#REF!</v>
      </c>
      <c r="R12" s="31">
        <v>0</v>
      </c>
      <c r="S12" s="31" t="e">
        <f t="shared" si="6"/>
        <v>#REF!</v>
      </c>
      <c r="T12" s="31"/>
      <c r="U12" s="31" t="e">
        <f t="shared" si="0"/>
        <v>#REF!</v>
      </c>
      <c r="V12" s="31" t="e">
        <f t="shared" si="7"/>
        <v>#REF!</v>
      </c>
      <c r="W12" s="31"/>
      <c r="X12" s="31" t="e">
        <f>V12-W12</f>
        <v>#REF!</v>
      </c>
      <c r="Y12" s="59">
        <v>2758909075</v>
      </c>
      <c r="Z12" s="40"/>
      <c r="AA12" s="25"/>
      <c r="AB12" s="25"/>
      <c r="AC12" s="25"/>
      <c r="AD12" s="25"/>
      <c r="AE12" s="25"/>
    </row>
    <row r="13" spans="1:31" ht="18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74.57</v>
      </c>
      <c r="H13" s="31">
        <v>85.97</v>
      </c>
      <c r="I13" s="55">
        <v>16</v>
      </c>
      <c r="J13" s="38">
        <f t="shared" si="1"/>
        <v>1193.12</v>
      </c>
      <c r="K13" s="38">
        <f t="shared" si="2"/>
        <v>119.312</v>
      </c>
      <c r="L13" s="38">
        <f t="shared" si="3"/>
        <v>119.312</v>
      </c>
      <c r="M13" s="38">
        <f t="shared" si="4"/>
        <v>178.968</v>
      </c>
      <c r="N13" s="38">
        <v>248</v>
      </c>
      <c r="O13" s="38">
        <f t="shared" si="5"/>
        <v>1858.7119999999998</v>
      </c>
      <c r="P13" s="31">
        <f>'calculo ISR'!N53-'calculo ISR'!N40</f>
        <v>107.74628800000002</v>
      </c>
      <c r="Q13" s="31">
        <f>'calculo ISR'!O53-'calculo ISR'!O40</f>
        <v>205.92000000000002</v>
      </c>
      <c r="R13" s="31">
        <v>0</v>
      </c>
      <c r="S13" s="31">
        <f t="shared" si="6"/>
        <v>-98.173712</v>
      </c>
      <c r="T13" s="31"/>
      <c r="U13" s="31">
        <f>R13+S13+T13</f>
        <v>-98.173712</v>
      </c>
      <c r="V13" s="31">
        <f t="shared" si="7"/>
        <v>1956.8857119999998</v>
      </c>
      <c r="W13" s="31"/>
      <c r="X13" s="31">
        <f>V13-W13</f>
        <v>1956.8857119999998</v>
      </c>
      <c r="Y13" s="99">
        <v>2783684466</v>
      </c>
      <c r="Z13" s="40"/>
      <c r="AA13" s="25"/>
      <c r="AB13" s="25"/>
      <c r="AC13" s="25"/>
      <c r="AD13" s="25"/>
      <c r="AE13" s="25"/>
    </row>
    <row r="14" spans="1:31" ht="15">
      <c r="A14" s="32" t="s">
        <v>57</v>
      </c>
      <c r="B14" s="28" t="s">
        <v>87</v>
      </c>
      <c r="C14" s="29">
        <v>71098933956</v>
      </c>
      <c r="D14" s="30" t="s">
        <v>59</v>
      </c>
      <c r="E14" s="36" t="s">
        <v>85</v>
      </c>
      <c r="F14" s="36" t="s">
        <v>86</v>
      </c>
      <c r="G14" s="31" t="e">
        <f>#REF!</f>
        <v>#REF!</v>
      </c>
      <c r="H14" s="31" t="e">
        <f>#REF!</f>
        <v>#REF!</v>
      </c>
      <c r="I14" s="55">
        <v>16</v>
      </c>
      <c r="J14" s="38" t="e">
        <f t="shared" si="1"/>
        <v>#REF!</v>
      </c>
      <c r="K14" s="38" t="e">
        <f>J14*0.075</f>
        <v>#REF!</v>
      </c>
      <c r="L14" s="38" t="e">
        <f t="shared" si="3"/>
        <v>#REF!</v>
      </c>
      <c r="M14" s="38" t="e">
        <f t="shared" si="4"/>
        <v>#REF!</v>
      </c>
      <c r="N14" s="38">
        <v>248</v>
      </c>
      <c r="O14" s="38" t="e">
        <f t="shared" si="5"/>
        <v>#REF!</v>
      </c>
      <c r="P14" s="31" t="e">
        <f>'calculo ISR'!N54-'calculo ISR'!N41</f>
        <v>#REF!</v>
      </c>
      <c r="Q14" s="31" t="e">
        <f>'calculo ISR'!O54-'calculo ISR'!O41</f>
        <v>#REF!</v>
      </c>
      <c r="R14" s="31">
        <v>0</v>
      </c>
      <c r="S14" s="31" t="e">
        <f t="shared" si="6"/>
        <v>#REF!</v>
      </c>
      <c r="T14" s="31"/>
      <c r="U14" s="31" t="e">
        <f t="shared" si="0"/>
        <v>#REF!</v>
      </c>
      <c r="V14" s="31" t="e">
        <f t="shared" si="7"/>
        <v>#REF!</v>
      </c>
      <c r="W14" s="31"/>
      <c r="X14" s="31" t="e">
        <f t="shared" si="8"/>
        <v>#REF!</v>
      </c>
      <c r="Y14" s="59">
        <v>2710232416</v>
      </c>
      <c r="Z14" s="40"/>
      <c r="AA14" s="25"/>
      <c r="AB14" s="25"/>
      <c r="AC14" s="25"/>
      <c r="AD14" s="25"/>
      <c r="AE14" s="25"/>
    </row>
    <row r="15" spans="1:25" ht="15">
      <c r="A15" s="27"/>
      <c r="B15" s="25"/>
      <c r="C15" s="25"/>
      <c r="D15" s="25"/>
      <c r="E15" s="37"/>
      <c r="F15" s="37"/>
      <c r="G15" s="25"/>
      <c r="H15" s="49"/>
      <c r="I15" s="88"/>
      <c r="J15" s="41" t="e">
        <f aca="true" t="shared" si="9" ref="J15:X15">SUM(J7:J14)</f>
        <v>#REF!</v>
      </c>
      <c r="K15" s="41" t="e">
        <f t="shared" si="9"/>
        <v>#REF!</v>
      </c>
      <c r="L15" s="41" t="e">
        <f t="shared" si="9"/>
        <v>#REF!</v>
      </c>
      <c r="M15" s="41" t="e">
        <f t="shared" si="9"/>
        <v>#REF!</v>
      </c>
      <c r="N15" s="41">
        <f t="shared" si="9"/>
        <v>1976</v>
      </c>
      <c r="O15" s="41" t="e">
        <f t="shared" si="9"/>
        <v>#REF!</v>
      </c>
      <c r="P15" s="41" t="e">
        <f t="shared" si="9"/>
        <v>#REF!</v>
      </c>
      <c r="Q15" s="41" t="e">
        <f t="shared" si="9"/>
        <v>#REF!</v>
      </c>
      <c r="R15" s="41">
        <f t="shared" si="9"/>
        <v>0</v>
      </c>
      <c r="S15" s="41" t="e">
        <f t="shared" si="9"/>
        <v>#REF!</v>
      </c>
      <c r="T15" s="41">
        <f t="shared" si="9"/>
        <v>0</v>
      </c>
      <c r="U15" s="41" t="e">
        <f t="shared" si="9"/>
        <v>#REF!</v>
      </c>
      <c r="V15" s="41" t="e">
        <f t="shared" si="9"/>
        <v>#REF!</v>
      </c>
      <c r="W15" s="41">
        <f>SUM(W7:W14)</f>
        <v>0</v>
      </c>
      <c r="X15" s="41" t="e">
        <f t="shared" si="9"/>
        <v>#REF!</v>
      </c>
      <c r="Y15" s="25"/>
    </row>
    <row r="16" spans="9:23" ht="25.5" customHeight="1">
      <c r="I16" s="88"/>
      <c r="W16" s="62"/>
    </row>
    <row r="17" spans="3:24" ht="15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4"/>
      <c r="N17" s="341" t="s">
        <v>50</v>
      </c>
      <c r="O17" s="33"/>
      <c r="P17" s="341" t="s">
        <v>51</v>
      </c>
      <c r="W17" s="62" t="s">
        <v>97</v>
      </c>
      <c r="X17" s="40"/>
    </row>
    <row r="18" spans="3:23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4" t="s">
        <v>49</v>
      </c>
      <c r="N18" s="342"/>
      <c r="O18" s="33"/>
      <c r="P18" s="342"/>
      <c r="W18" s="62"/>
    </row>
    <row r="19" spans="2:24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M15</f>
        <v>#REF!</v>
      </c>
      <c r="G19" s="46">
        <f>N15</f>
        <v>1976</v>
      </c>
      <c r="H19" s="43" t="e">
        <f aca="true" t="shared" si="10" ref="H19:N19">O15</f>
        <v>#REF!</v>
      </c>
      <c r="I19" s="43" t="e">
        <f t="shared" si="10"/>
        <v>#REF!</v>
      </c>
      <c r="J19" s="43" t="e">
        <f t="shared" si="10"/>
        <v>#REF!</v>
      </c>
      <c r="K19" s="43">
        <f t="shared" si="10"/>
        <v>0</v>
      </c>
      <c r="L19" s="43" t="e">
        <f t="shared" si="10"/>
        <v>#REF!</v>
      </c>
      <c r="M19" s="43">
        <f t="shared" si="10"/>
        <v>0</v>
      </c>
      <c r="N19" s="43" t="e">
        <f t="shared" si="10"/>
        <v>#REF!</v>
      </c>
      <c r="O19" s="43"/>
      <c r="P19" s="43" t="e">
        <f>V15</f>
        <v>#REF!</v>
      </c>
      <c r="V19" s="40"/>
      <c r="W19" s="40"/>
      <c r="X19" s="40"/>
    </row>
    <row r="20" spans="3:16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3:24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  <c r="U21" s="48"/>
      <c r="V21" s="40"/>
      <c r="W21" s="40"/>
      <c r="X21" s="40"/>
    </row>
    <row r="22" spans="3:16" ht="15">
      <c r="C22" s="40"/>
      <c r="D22" s="40"/>
      <c r="E22" s="40"/>
      <c r="F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3:16" ht="15">
      <c r="C23" s="40" t="e">
        <f>SUM(C19:C22)</f>
        <v>#REF!</v>
      </c>
      <c r="D23" s="40" t="e">
        <f>SUM(D19:D22)</f>
        <v>#REF!</v>
      </c>
      <c r="E23" s="40" t="e">
        <f>SUM(E19:E22)</f>
        <v>#REF!</v>
      </c>
      <c r="F23" s="40" t="e">
        <f>SUM(F19:F22)</f>
        <v>#REF!</v>
      </c>
      <c r="H23" s="40" t="e">
        <f aca="true" t="shared" si="11" ref="H23:N23">SUM(H19:H22)</f>
        <v>#REF!</v>
      </c>
      <c r="I23" s="40" t="e">
        <f t="shared" si="11"/>
        <v>#REF!</v>
      </c>
      <c r="J23" s="40" t="e">
        <f t="shared" si="11"/>
        <v>#REF!</v>
      </c>
      <c r="K23" s="40">
        <f t="shared" si="11"/>
        <v>0</v>
      </c>
      <c r="L23" s="40" t="e">
        <f t="shared" si="11"/>
        <v>#REF!</v>
      </c>
      <c r="M23" s="40">
        <f t="shared" si="11"/>
        <v>0</v>
      </c>
      <c r="N23" s="40" t="e">
        <f t="shared" si="11"/>
        <v>#REF!</v>
      </c>
      <c r="O23" s="40"/>
      <c r="P23" s="40"/>
    </row>
    <row r="24" spans="3:24" ht="1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V24" s="40"/>
      <c r="W24" s="40"/>
      <c r="X24" s="40"/>
    </row>
    <row r="25" spans="9:24" ht="15">
      <c r="I25" s="61" t="s">
        <v>57</v>
      </c>
      <c r="J25" s="61" t="s">
        <v>8</v>
      </c>
      <c r="V25" s="40"/>
      <c r="W25" s="40"/>
      <c r="X25" s="40"/>
    </row>
    <row r="26" spans="7:25" ht="15">
      <c r="G26" s="335" t="s">
        <v>53</v>
      </c>
      <c r="H26" s="335"/>
      <c r="I26" s="40" t="e">
        <f>H19+K19-L19</f>
        <v>#REF!</v>
      </c>
      <c r="J26" s="40" t="e">
        <f>H23+K23-L23</f>
        <v>#REF!</v>
      </c>
      <c r="K26" s="40"/>
      <c r="L26" s="40"/>
      <c r="Y26" s="40"/>
    </row>
    <row r="27" spans="7:12" ht="15">
      <c r="G27" s="335" t="s">
        <v>54</v>
      </c>
      <c r="H27" s="335"/>
      <c r="I27" s="40" t="e">
        <f>I26*0.06</f>
        <v>#REF!</v>
      </c>
      <c r="J27" s="40" t="e">
        <f>J26*0.06</f>
        <v>#REF!</v>
      </c>
      <c r="K27" s="40"/>
      <c r="L27" s="40"/>
    </row>
    <row r="28" spans="7:17" ht="15">
      <c r="G28" s="335" t="s">
        <v>55</v>
      </c>
      <c r="H28" s="335"/>
      <c r="I28" s="40" t="e">
        <f>H19*0.02</f>
        <v>#REF!</v>
      </c>
      <c r="J28" s="40" t="e">
        <f>H23*0.02</f>
        <v>#REF!</v>
      </c>
      <c r="K28" s="40"/>
      <c r="L28" s="40"/>
      <c r="Q28" s="48"/>
    </row>
    <row r="29" spans="7:12" ht="15.75" thickBot="1">
      <c r="G29" s="335" t="s">
        <v>36</v>
      </c>
      <c r="H29" s="335"/>
      <c r="I29" s="44">
        <f>'COP TUXTLA'!S85</f>
        <v>25169.65620299588</v>
      </c>
      <c r="J29" s="44">
        <f>I29</f>
        <v>25169.65620299588</v>
      </c>
      <c r="K29" s="43"/>
      <c r="L29" s="43"/>
    </row>
    <row r="30" spans="7:12" ht="15">
      <c r="G30" s="335" t="s">
        <v>30</v>
      </c>
      <c r="H30" s="335"/>
      <c r="I30" s="40" t="e">
        <f>SUM(I26:I29)</f>
        <v>#REF!</v>
      </c>
      <c r="J30" s="40" t="e">
        <f>SUM(J26:J29)</f>
        <v>#REF!</v>
      </c>
      <c r="K30" s="54"/>
      <c r="L30" s="54"/>
    </row>
    <row r="31" spans="7:12" ht="15.75" thickBot="1">
      <c r="G31" s="335" t="s">
        <v>62</v>
      </c>
      <c r="H31" s="335"/>
      <c r="I31" s="42" t="e">
        <f>I30*0.16</f>
        <v>#REF!</v>
      </c>
      <c r="J31" s="42" t="e">
        <f>J30*0.16</f>
        <v>#REF!</v>
      </c>
      <c r="K31" s="54"/>
      <c r="L31" s="54"/>
    </row>
    <row r="32" spans="7:12" ht="15">
      <c r="G32" s="335" t="s">
        <v>8</v>
      </c>
      <c r="H32" s="335"/>
      <c r="I32" s="40" t="e">
        <f>I30+I31</f>
        <v>#REF!</v>
      </c>
      <c r="J32" s="40" t="e">
        <f>J30+J31</f>
        <v>#REF!</v>
      </c>
      <c r="K32" s="54"/>
      <c r="L32" s="54"/>
    </row>
    <row r="33" ht="15">
      <c r="J33" s="40"/>
    </row>
    <row r="34" ht="15">
      <c r="J34" s="40" t="e">
        <f>J32+J33</f>
        <v>#REF!</v>
      </c>
    </row>
    <row r="36" spans="7:11" ht="15">
      <c r="G36" s="52"/>
      <c r="H36" s="53"/>
      <c r="I36" s="53"/>
      <c r="J36" s="53"/>
      <c r="K36" s="53"/>
    </row>
    <row r="38" ht="15">
      <c r="M38" s="40"/>
    </row>
    <row r="39" ht="15">
      <c r="M39" s="40"/>
    </row>
    <row r="40" ht="15">
      <c r="M40" s="40"/>
    </row>
  </sheetData>
  <sheetProtection/>
  <mergeCells count="30">
    <mergeCell ref="P4:T4"/>
    <mergeCell ref="U4:U5"/>
    <mergeCell ref="V4:V5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W4:X4"/>
    <mergeCell ref="A6:B6"/>
    <mergeCell ref="C17:G17"/>
    <mergeCell ref="H17:H18"/>
    <mergeCell ref="I17:M17"/>
    <mergeCell ref="N17:N18"/>
    <mergeCell ref="P17:P18"/>
    <mergeCell ref="I4:I5"/>
    <mergeCell ref="J4:N4"/>
    <mergeCell ref="O4:O5"/>
    <mergeCell ref="G32:H32"/>
    <mergeCell ref="G26:H26"/>
    <mergeCell ref="G27:H27"/>
    <mergeCell ref="G28:H28"/>
    <mergeCell ref="G29:H29"/>
    <mergeCell ref="G30:H30"/>
    <mergeCell ref="G31:H31"/>
  </mergeCells>
  <printOptions/>
  <pageMargins left="0.7480314960629921" right="0.7480314960629921" top="0.984251968503937" bottom="0.984251968503937" header="0" footer="0"/>
  <pageSetup horizontalDpi="120" verticalDpi="120" orientation="landscape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AE40"/>
  <sheetViews>
    <sheetView view="pageBreakPreview" zoomScale="60" zoomScalePageLayoutView="0" workbookViewId="0" topLeftCell="A1">
      <pane xSplit="2" topLeftCell="E1" activePane="topRight" state="frozen"/>
      <selection pane="topLeft" activeCell="A4" sqref="A4"/>
      <selection pane="topRight" activeCell="S19" sqref="S19"/>
    </sheetView>
  </sheetViews>
  <sheetFormatPr defaultColWidth="11.421875" defaultRowHeight="15"/>
  <cols>
    <col min="1" max="1" width="7.57421875" style="107" customWidth="1"/>
    <col min="2" max="2" width="38.57421875" style="0" customWidth="1"/>
    <col min="3" max="3" width="16.57421875" style="0" customWidth="1"/>
    <col min="4" max="4" width="13.00390625" style="0" customWidth="1"/>
    <col min="5" max="5" width="15.00390625" style="0" customWidth="1"/>
    <col min="6" max="6" width="23.7109375" style="108" customWidth="1"/>
    <col min="7" max="7" width="13.00390625" style="108" customWidth="1"/>
    <col min="8" max="8" width="13.00390625" style="0" customWidth="1"/>
    <col min="9" max="9" width="15.57421875" style="0" customWidth="1"/>
    <col min="10" max="10" width="14.7109375" style="0" customWidth="1"/>
    <col min="11" max="12" width="13.00390625" style="0" customWidth="1"/>
    <col min="13" max="13" width="15.57421875" style="0" customWidth="1"/>
    <col min="14" max="14" width="14.421875" style="0" customWidth="1"/>
    <col min="15" max="15" width="18.00390625" style="0" customWidth="1"/>
    <col min="16" max="16" width="13.00390625" style="0" customWidth="1"/>
    <col min="17" max="17" width="20.57421875" style="0" customWidth="1"/>
    <col min="18" max="21" width="13.00390625" style="0" customWidth="1"/>
    <col min="22" max="24" width="15.8515625" style="0" customWidth="1"/>
    <col min="25" max="25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137</v>
      </c>
      <c r="B3" s="344"/>
      <c r="C3" s="344"/>
      <c r="D3" s="344"/>
      <c r="E3" s="344"/>
      <c r="F3" s="344"/>
      <c r="G3" s="344"/>
      <c r="H3" s="344"/>
      <c r="I3" s="344"/>
    </row>
    <row r="4" spans="1:27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3"/>
      <c r="N4" s="334"/>
      <c r="O4" s="331" t="s">
        <v>44</v>
      </c>
      <c r="P4" s="339" t="s">
        <v>2</v>
      </c>
      <c r="Q4" s="339"/>
      <c r="R4" s="339"/>
      <c r="S4" s="339"/>
      <c r="T4" s="339"/>
      <c r="U4" s="331" t="s">
        <v>50</v>
      </c>
      <c r="V4" s="331" t="s">
        <v>51</v>
      </c>
      <c r="W4" s="337" t="s">
        <v>2</v>
      </c>
      <c r="X4" s="337"/>
      <c r="Y4" s="51"/>
      <c r="Z4" s="50"/>
      <c r="AA4" s="50"/>
    </row>
    <row r="5" spans="1:25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41</v>
      </c>
      <c r="K5" s="34" t="s">
        <v>52</v>
      </c>
      <c r="L5" s="34" t="s">
        <v>42</v>
      </c>
      <c r="M5" s="34" t="s">
        <v>43</v>
      </c>
      <c r="N5" s="34" t="s">
        <v>60</v>
      </c>
      <c r="O5" s="331"/>
      <c r="P5" s="34" t="s">
        <v>45</v>
      </c>
      <c r="Q5" s="34" t="s">
        <v>46</v>
      </c>
      <c r="R5" s="34" t="s">
        <v>47</v>
      </c>
      <c r="S5" s="34" t="s">
        <v>48</v>
      </c>
      <c r="T5" s="34" t="s">
        <v>49</v>
      </c>
      <c r="U5" s="331"/>
      <c r="V5" s="331"/>
      <c r="W5" s="33" t="s">
        <v>91</v>
      </c>
      <c r="X5" s="33" t="s">
        <v>77</v>
      </c>
      <c r="Y5" s="34" t="s">
        <v>70</v>
      </c>
    </row>
    <row r="6" spans="1:31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26"/>
      <c r="O6" s="26"/>
      <c r="P6" s="39"/>
      <c r="Q6" s="39"/>
      <c r="R6" s="39"/>
      <c r="S6" s="39"/>
      <c r="T6" s="39"/>
      <c r="U6" s="39"/>
      <c r="V6" s="39"/>
      <c r="W6" s="39"/>
      <c r="X6" s="39"/>
      <c r="Y6" s="25"/>
      <c r="Z6" s="25"/>
      <c r="AA6" s="25"/>
      <c r="AB6" s="25"/>
      <c r="AC6" s="25"/>
      <c r="AD6" s="25"/>
      <c r="AE6" s="25"/>
    </row>
    <row r="7" spans="1:31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15</v>
      </c>
      <c r="J7" s="109" t="e">
        <f aca="true" t="shared" si="0" ref="J7:J14">G7*I7</f>
        <v>#REF!</v>
      </c>
      <c r="K7" s="38" t="e">
        <f aca="true" t="shared" si="1" ref="K7:K14">J7*0.1</f>
        <v>#REF!</v>
      </c>
      <c r="L7" s="38" t="e">
        <f aca="true" t="shared" si="2" ref="L7:L14">J7*0.1</f>
        <v>#REF!</v>
      </c>
      <c r="M7" s="38" t="e">
        <f aca="true" t="shared" si="3" ref="M7:M14">J7*0.15</f>
        <v>#REF!</v>
      </c>
      <c r="N7" s="109">
        <v>248</v>
      </c>
      <c r="O7" s="38" t="e">
        <f>SUM(J7:N7)</f>
        <v>#REF!</v>
      </c>
      <c r="P7" s="31" t="e">
        <f>'calculo ISR SEP '!N47-'15 DE SEPTIEMBRE'!P7</f>
        <v>#REF!</v>
      </c>
      <c r="Q7" s="31" t="e">
        <f>'calculo ISR SEP '!O47-'15 DE SEPTIEMBRE'!Q7</f>
        <v>#REF!</v>
      </c>
      <c r="R7" s="31">
        <v>0</v>
      </c>
      <c r="S7" s="31" t="e">
        <f>P7-Q7</f>
        <v>#REF!</v>
      </c>
      <c r="T7" s="31"/>
      <c r="U7" s="31" t="e">
        <f>R7+S7+T7</f>
        <v>#REF!</v>
      </c>
      <c r="V7" s="95" t="e">
        <f>O7-U7</f>
        <v>#REF!</v>
      </c>
      <c r="W7" s="31"/>
      <c r="X7" s="31" t="e">
        <f>V7-W7</f>
        <v>#REF!</v>
      </c>
      <c r="Y7" s="104">
        <v>2701986570</v>
      </c>
      <c r="Z7" s="40"/>
      <c r="AA7" s="56"/>
      <c r="AB7" s="25"/>
      <c r="AC7" s="25"/>
      <c r="AD7" s="25"/>
      <c r="AE7" s="25"/>
    </row>
    <row r="8" spans="1:31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15</v>
      </c>
      <c r="J8" s="109" t="e">
        <f t="shared" si="0"/>
        <v>#REF!</v>
      </c>
      <c r="K8" s="38" t="e">
        <f>J8*0.075</f>
        <v>#REF!</v>
      </c>
      <c r="L8" s="38" t="e">
        <f t="shared" si="2"/>
        <v>#REF!</v>
      </c>
      <c r="M8" s="38" t="e">
        <f t="shared" si="3"/>
        <v>#REF!</v>
      </c>
      <c r="N8" s="109">
        <v>248</v>
      </c>
      <c r="O8" s="38" t="e">
        <f aca="true" t="shared" si="4" ref="O8:O14">SUM(J8:N8)</f>
        <v>#REF!</v>
      </c>
      <c r="P8" s="31" t="e">
        <f>'calculo ISR SEP '!N48-'15 DE SEPTIEMBRE'!P8</f>
        <v>#REF!</v>
      </c>
      <c r="Q8" s="31" t="e">
        <f>'calculo ISR SEP '!O48-'15 DE SEPTIEMBRE'!Q8</f>
        <v>#REF!</v>
      </c>
      <c r="R8" s="31">
        <v>0</v>
      </c>
      <c r="S8" s="31" t="e">
        <f aca="true" t="shared" si="5" ref="S8:S14">P8-Q8</f>
        <v>#REF!</v>
      </c>
      <c r="T8" s="31"/>
      <c r="U8" s="31" t="e">
        <f aca="true" t="shared" si="6" ref="U8:U14">R8+S8+T8</f>
        <v>#REF!</v>
      </c>
      <c r="V8" s="95" t="e">
        <f aca="true" t="shared" si="7" ref="V8:V14">O8-U8</f>
        <v>#REF!</v>
      </c>
      <c r="W8" s="31"/>
      <c r="X8" s="31" t="e">
        <f aca="true" t="shared" si="8" ref="X8:X14">V8-W8</f>
        <v>#REF!</v>
      </c>
      <c r="Y8" s="104">
        <v>2714169778</v>
      </c>
      <c r="Z8" s="40"/>
      <c r="AA8" s="56"/>
      <c r="AB8" s="25"/>
      <c r="AC8" s="25"/>
      <c r="AD8" s="25"/>
      <c r="AE8" s="25"/>
    </row>
    <row r="9" spans="1:31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15</v>
      </c>
      <c r="J9" s="109" t="e">
        <f t="shared" si="0"/>
        <v>#REF!</v>
      </c>
      <c r="K9" s="38" t="e">
        <f t="shared" si="1"/>
        <v>#REF!</v>
      </c>
      <c r="L9" s="38" t="e">
        <f t="shared" si="2"/>
        <v>#REF!</v>
      </c>
      <c r="M9" s="38" t="e">
        <f t="shared" si="3"/>
        <v>#REF!</v>
      </c>
      <c r="N9" s="109">
        <v>248</v>
      </c>
      <c r="O9" s="38" t="e">
        <f t="shared" si="4"/>
        <v>#REF!</v>
      </c>
      <c r="P9" s="31" t="e">
        <f>'calculo ISR SEP '!N49-'15 DE SEPTIEMBRE'!P9</f>
        <v>#REF!</v>
      </c>
      <c r="Q9" s="31" t="e">
        <f>'calculo ISR SEP '!O49-'15 DE SEPTIEMBRE'!Q9</f>
        <v>#REF!</v>
      </c>
      <c r="R9" s="31">
        <v>0</v>
      </c>
      <c r="S9" s="31" t="e">
        <f t="shared" si="5"/>
        <v>#REF!</v>
      </c>
      <c r="T9" s="31"/>
      <c r="U9" s="31" t="e">
        <f t="shared" si="6"/>
        <v>#REF!</v>
      </c>
      <c r="V9" s="95" t="e">
        <f t="shared" si="7"/>
        <v>#REF!</v>
      </c>
      <c r="W9" s="31"/>
      <c r="X9" s="31" t="e">
        <f t="shared" si="8"/>
        <v>#REF!</v>
      </c>
      <c r="Y9" s="104">
        <v>2715849675</v>
      </c>
      <c r="Z9" s="40"/>
      <c r="AA9" s="56"/>
      <c r="AB9" s="25"/>
      <c r="AC9" s="25"/>
      <c r="AD9" s="25"/>
      <c r="AE9" s="25"/>
    </row>
    <row r="10" spans="1:31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15</v>
      </c>
      <c r="J10" s="109" t="e">
        <f t="shared" si="0"/>
        <v>#REF!</v>
      </c>
      <c r="K10" s="38" t="e">
        <f t="shared" si="1"/>
        <v>#REF!</v>
      </c>
      <c r="L10" s="38" t="e">
        <f t="shared" si="2"/>
        <v>#REF!</v>
      </c>
      <c r="M10" s="38" t="e">
        <f t="shared" si="3"/>
        <v>#REF!</v>
      </c>
      <c r="N10" s="109">
        <v>248</v>
      </c>
      <c r="O10" s="38" t="e">
        <f t="shared" si="4"/>
        <v>#REF!</v>
      </c>
      <c r="P10" s="31" t="e">
        <f>'calculo ISR SEP '!N50-'15 DE SEPTIEMBRE'!P10</f>
        <v>#REF!</v>
      </c>
      <c r="Q10" s="31" t="e">
        <f>'calculo ISR SEP '!O50-'15 DE SEPTIEMBRE'!Q10</f>
        <v>#REF!</v>
      </c>
      <c r="R10" s="31">
        <v>0</v>
      </c>
      <c r="S10" s="31" t="e">
        <f t="shared" si="5"/>
        <v>#REF!</v>
      </c>
      <c r="T10" s="31"/>
      <c r="U10" s="31" t="e">
        <f t="shared" si="6"/>
        <v>#REF!</v>
      </c>
      <c r="V10" s="95" t="e">
        <f t="shared" si="7"/>
        <v>#REF!</v>
      </c>
      <c r="W10" s="31"/>
      <c r="X10" s="31" t="e">
        <f>V10-W10</f>
        <v>#REF!</v>
      </c>
      <c r="Y10" s="105">
        <v>2714169867</v>
      </c>
      <c r="Z10" s="40"/>
      <c r="AA10" s="56"/>
      <c r="AB10" s="25"/>
      <c r="AC10" s="25"/>
      <c r="AD10" s="25"/>
      <c r="AE10" s="25"/>
    </row>
    <row r="11" spans="1:31" ht="1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15</v>
      </c>
      <c r="J11" s="109" t="e">
        <f t="shared" si="0"/>
        <v>#REF!</v>
      </c>
      <c r="K11" s="38" t="e">
        <f>J11*0.05</f>
        <v>#REF!</v>
      </c>
      <c r="L11" s="38" t="e">
        <f t="shared" si="2"/>
        <v>#REF!</v>
      </c>
      <c r="M11" s="38" t="e">
        <f t="shared" si="3"/>
        <v>#REF!</v>
      </c>
      <c r="N11" s="109">
        <v>244</v>
      </c>
      <c r="O11" s="38" t="e">
        <f t="shared" si="4"/>
        <v>#REF!</v>
      </c>
      <c r="P11" s="31" t="e">
        <f>'calculo ISR SEP '!N51-'15 DE SEPTIEMBRE'!P11</f>
        <v>#REF!</v>
      </c>
      <c r="Q11" s="31" t="e">
        <f>'calculo ISR SEP '!O51-'15 DE SEPTIEMBRE'!Q11</f>
        <v>#REF!</v>
      </c>
      <c r="R11" s="31">
        <v>0</v>
      </c>
      <c r="S11" s="31" t="e">
        <f t="shared" si="5"/>
        <v>#REF!</v>
      </c>
      <c r="T11" s="31"/>
      <c r="U11" s="31" t="e">
        <f t="shared" si="6"/>
        <v>#REF!</v>
      </c>
      <c r="V11" s="95" t="e">
        <f t="shared" si="7"/>
        <v>#REF!</v>
      </c>
      <c r="W11" s="31"/>
      <c r="X11" s="31" t="e">
        <f t="shared" si="8"/>
        <v>#REF!</v>
      </c>
      <c r="Y11" s="106">
        <v>2753982734</v>
      </c>
      <c r="Z11" s="40"/>
      <c r="AA11" s="57"/>
      <c r="AB11" s="25"/>
      <c r="AC11" s="25"/>
      <c r="AD11" s="25"/>
      <c r="AE11" s="25"/>
    </row>
    <row r="12" spans="1:31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15</v>
      </c>
      <c r="J12" s="109" t="e">
        <f t="shared" si="0"/>
        <v>#REF!</v>
      </c>
      <c r="K12" s="38" t="e">
        <f t="shared" si="1"/>
        <v>#REF!</v>
      </c>
      <c r="L12" s="38" t="e">
        <f t="shared" si="2"/>
        <v>#REF!</v>
      </c>
      <c r="M12" s="38" t="e">
        <f t="shared" si="3"/>
        <v>#REF!</v>
      </c>
      <c r="N12" s="109">
        <v>244</v>
      </c>
      <c r="O12" s="38" t="e">
        <f t="shared" si="4"/>
        <v>#REF!</v>
      </c>
      <c r="P12" s="31" t="e">
        <f>'calculo ISR SEP '!N52-'15 DE SEPTIEMBRE'!P12</f>
        <v>#REF!</v>
      </c>
      <c r="Q12" s="31" t="e">
        <f>'calculo ISR SEP '!O52-'15 DE SEPTIEMBRE'!Q12</f>
        <v>#REF!</v>
      </c>
      <c r="R12" s="31">
        <v>0</v>
      </c>
      <c r="S12" s="31" t="e">
        <f t="shared" si="5"/>
        <v>#REF!</v>
      </c>
      <c r="T12" s="31"/>
      <c r="U12" s="31" t="e">
        <f t="shared" si="6"/>
        <v>#REF!</v>
      </c>
      <c r="V12" s="95" t="e">
        <f t="shared" si="7"/>
        <v>#REF!</v>
      </c>
      <c r="W12" s="31"/>
      <c r="X12" s="31" t="e">
        <f>V12-W12</f>
        <v>#REF!</v>
      </c>
      <c r="Y12" s="106">
        <v>2758909075</v>
      </c>
      <c r="Z12" s="40"/>
      <c r="AA12" s="25"/>
      <c r="AB12" s="25"/>
      <c r="AC12" s="25"/>
      <c r="AD12" s="25"/>
      <c r="AE12" s="25"/>
    </row>
    <row r="13" spans="1:31" ht="15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74.57</v>
      </c>
      <c r="H13" s="31">
        <v>85.97</v>
      </c>
      <c r="I13" s="55">
        <v>15</v>
      </c>
      <c r="J13" s="109">
        <f t="shared" si="0"/>
        <v>1118.55</v>
      </c>
      <c r="K13" s="38">
        <f t="shared" si="1"/>
        <v>111.855</v>
      </c>
      <c r="L13" s="38">
        <f t="shared" si="2"/>
        <v>111.855</v>
      </c>
      <c r="M13" s="38">
        <f t="shared" si="3"/>
        <v>167.7825</v>
      </c>
      <c r="N13" s="109">
        <v>244</v>
      </c>
      <c r="O13" s="38">
        <f t="shared" si="4"/>
        <v>1754.0425</v>
      </c>
      <c r="P13" s="31">
        <f>'calculo ISR SEP '!N53-'15 DE SEPTIEMBRE'!P13</f>
        <v>101.04744000000002</v>
      </c>
      <c r="Q13" s="31">
        <f>'calculo ISR SEP '!O53-'15 DE SEPTIEMBRE'!Q13</f>
        <v>205.92000000000002</v>
      </c>
      <c r="R13" s="31">
        <v>0</v>
      </c>
      <c r="S13" s="31">
        <f t="shared" si="5"/>
        <v>-104.87256</v>
      </c>
      <c r="T13" s="31"/>
      <c r="U13" s="31">
        <f t="shared" si="6"/>
        <v>-104.87256</v>
      </c>
      <c r="V13" s="95">
        <f t="shared" si="7"/>
        <v>1858.91506</v>
      </c>
      <c r="W13" s="31"/>
      <c r="X13" s="31">
        <f>V13-W13</f>
        <v>1858.91506</v>
      </c>
      <c r="Y13" s="106">
        <v>2783684466</v>
      </c>
      <c r="Z13" s="40"/>
      <c r="AA13" s="25"/>
      <c r="AB13" s="25"/>
      <c r="AC13" s="25"/>
      <c r="AD13" s="25"/>
      <c r="AE13" s="25"/>
    </row>
    <row r="14" spans="1:31" ht="15">
      <c r="A14" s="32" t="s">
        <v>57</v>
      </c>
      <c r="B14" s="28" t="s">
        <v>87</v>
      </c>
      <c r="C14" s="29">
        <v>71098933956</v>
      </c>
      <c r="D14" s="30" t="s">
        <v>59</v>
      </c>
      <c r="E14" s="36" t="s">
        <v>85</v>
      </c>
      <c r="F14" s="36" t="s">
        <v>86</v>
      </c>
      <c r="G14" s="31" t="e">
        <f>#REF!</f>
        <v>#REF!</v>
      </c>
      <c r="H14" s="31" t="e">
        <f>#REF!</f>
        <v>#REF!</v>
      </c>
      <c r="I14" s="55">
        <v>15</v>
      </c>
      <c r="J14" s="109" t="e">
        <f t="shared" si="0"/>
        <v>#REF!</v>
      </c>
      <c r="K14" s="38" t="e">
        <f t="shared" si="1"/>
        <v>#REF!</v>
      </c>
      <c r="L14" s="38" t="e">
        <f t="shared" si="2"/>
        <v>#REF!</v>
      </c>
      <c r="M14" s="38" t="e">
        <f t="shared" si="3"/>
        <v>#REF!</v>
      </c>
      <c r="N14" s="109">
        <v>248</v>
      </c>
      <c r="O14" s="38" t="e">
        <f t="shared" si="4"/>
        <v>#REF!</v>
      </c>
      <c r="P14" s="31" t="e">
        <f>'calculo ISR SEP '!N54-'15 DE SEPTIEMBRE'!P14</f>
        <v>#REF!</v>
      </c>
      <c r="Q14" s="31" t="e">
        <f>'calculo ISR SEP '!O54-'15 DE SEPTIEMBRE'!Q14</f>
        <v>#REF!</v>
      </c>
      <c r="R14" s="31">
        <v>0</v>
      </c>
      <c r="S14" s="31" t="e">
        <f t="shared" si="5"/>
        <v>#REF!</v>
      </c>
      <c r="T14" s="31"/>
      <c r="U14" s="31" t="e">
        <f t="shared" si="6"/>
        <v>#REF!</v>
      </c>
      <c r="V14" s="95" t="e">
        <f t="shared" si="7"/>
        <v>#REF!</v>
      </c>
      <c r="W14" s="31"/>
      <c r="X14" s="31" t="e">
        <f t="shared" si="8"/>
        <v>#REF!</v>
      </c>
      <c r="Y14" s="106">
        <v>2710232416</v>
      </c>
      <c r="Z14" s="40"/>
      <c r="AA14" s="25"/>
      <c r="AB14" s="25"/>
      <c r="AC14" s="25"/>
      <c r="AD14" s="25"/>
      <c r="AE14" s="25"/>
    </row>
    <row r="15" spans="1:25" ht="15">
      <c r="A15" s="27"/>
      <c r="B15" s="25"/>
      <c r="C15" s="25"/>
      <c r="D15" s="25"/>
      <c r="E15" s="37"/>
      <c r="F15" s="37"/>
      <c r="G15" s="25"/>
      <c r="H15" s="49"/>
      <c r="I15" s="107"/>
      <c r="J15" s="41" t="e">
        <f aca="true" t="shared" si="9" ref="J15:X15">SUM(J7:J14)</f>
        <v>#REF!</v>
      </c>
      <c r="K15" s="41" t="e">
        <f t="shared" si="9"/>
        <v>#REF!</v>
      </c>
      <c r="L15" s="41" t="e">
        <f t="shared" si="9"/>
        <v>#REF!</v>
      </c>
      <c r="M15" s="41" t="e">
        <f t="shared" si="9"/>
        <v>#REF!</v>
      </c>
      <c r="N15" s="41">
        <f t="shared" si="9"/>
        <v>1972</v>
      </c>
      <c r="O15" s="41" t="e">
        <f t="shared" si="9"/>
        <v>#REF!</v>
      </c>
      <c r="P15" s="41" t="e">
        <f t="shared" si="9"/>
        <v>#REF!</v>
      </c>
      <c r="Q15" s="41" t="e">
        <f t="shared" si="9"/>
        <v>#REF!</v>
      </c>
      <c r="R15" s="41">
        <f t="shared" si="9"/>
        <v>0</v>
      </c>
      <c r="S15" s="41" t="e">
        <f t="shared" si="9"/>
        <v>#REF!</v>
      </c>
      <c r="T15" s="41">
        <f t="shared" si="9"/>
        <v>0</v>
      </c>
      <c r="U15" s="41" t="e">
        <f t="shared" si="9"/>
        <v>#REF!</v>
      </c>
      <c r="V15" s="41" t="e">
        <f t="shared" si="9"/>
        <v>#REF!</v>
      </c>
      <c r="W15" s="41">
        <f>SUM(W7:W14)</f>
        <v>0</v>
      </c>
      <c r="X15" s="41" t="e">
        <f t="shared" si="9"/>
        <v>#REF!</v>
      </c>
      <c r="Y15" s="25"/>
    </row>
    <row r="16" spans="9:23" ht="25.5" customHeight="1">
      <c r="I16" s="107"/>
      <c r="W16" s="62"/>
    </row>
    <row r="17" spans="3:24" ht="15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4"/>
      <c r="N17" s="341" t="s">
        <v>50</v>
      </c>
      <c r="O17" s="33"/>
      <c r="P17" s="341" t="s">
        <v>51</v>
      </c>
      <c r="W17" s="62" t="s">
        <v>97</v>
      </c>
      <c r="X17" s="40"/>
    </row>
    <row r="18" spans="3:23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4" t="s">
        <v>49</v>
      </c>
      <c r="N18" s="342"/>
      <c r="O18" s="33"/>
      <c r="P18" s="342"/>
      <c r="W18" s="62"/>
    </row>
    <row r="19" spans="2:24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M15</f>
        <v>#REF!</v>
      </c>
      <c r="G19" s="46">
        <f>N15</f>
        <v>1972</v>
      </c>
      <c r="H19" s="43" t="e">
        <f aca="true" t="shared" si="10" ref="H19:N19">O15</f>
        <v>#REF!</v>
      </c>
      <c r="I19" s="43" t="e">
        <f t="shared" si="10"/>
        <v>#REF!</v>
      </c>
      <c r="J19" s="43" t="e">
        <f t="shared" si="10"/>
        <v>#REF!</v>
      </c>
      <c r="K19" s="43">
        <f t="shared" si="10"/>
        <v>0</v>
      </c>
      <c r="L19" s="43" t="e">
        <f t="shared" si="10"/>
        <v>#REF!</v>
      </c>
      <c r="M19" s="43">
        <f t="shared" si="10"/>
        <v>0</v>
      </c>
      <c r="N19" s="43" t="e">
        <f t="shared" si="10"/>
        <v>#REF!</v>
      </c>
      <c r="O19" s="43"/>
      <c r="P19" s="43" t="e">
        <f>V15</f>
        <v>#REF!</v>
      </c>
      <c r="V19" s="40"/>
      <c r="W19" s="40"/>
      <c r="X19" s="40"/>
    </row>
    <row r="20" spans="3:16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3:24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O21" s="40"/>
      <c r="P21" s="40"/>
      <c r="U21" s="48"/>
      <c r="V21" s="40"/>
      <c r="W21" s="40"/>
      <c r="X21" s="40"/>
    </row>
    <row r="22" spans="3:16" ht="15">
      <c r="C22" s="40"/>
      <c r="D22" s="40"/>
      <c r="E22" s="40"/>
      <c r="F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3:16" ht="15">
      <c r="C23" s="40" t="e">
        <f>SUM(C19:C22)</f>
        <v>#REF!</v>
      </c>
      <c r="D23" s="40" t="e">
        <f>SUM(D19:D22)</f>
        <v>#REF!</v>
      </c>
      <c r="E23" s="40" t="e">
        <f>SUM(E19:E22)</f>
        <v>#REF!</v>
      </c>
      <c r="F23" s="40" t="e">
        <f>SUM(F19:F22)</f>
        <v>#REF!</v>
      </c>
      <c r="H23" s="40" t="e">
        <f aca="true" t="shared" si="11" ref="H23:N23">SUM(H19:H22)</f>
        <v>#REF!</v>
      </c>
      <c r="I23" s="40" t="e">
        <f t="shared" si="11"/>
        <v>#REF!</v>
      </c>
      <c r="J23" s="40" t="e">
        <f t="shared" si="11"/>
        <v>#REF!</v>
      </c>
      <c r="K23" s="40">
        <f t="shared" si="11"/>
        <v>0</v>
      </c>
      <c r="L23" s="40" t="e">
        <f t="shared" si="11"/>
        <v>#REF!</v>
      </c>
      <c r="M23" s="40">
        <f t="shared" si="11"/>
        <v>0</v>
      </c>
      <c r="N23" s="40" t="e">
        <f t="shared" si="11"/>
        <v>#REF!</v>
      </c>
      <c r="O23" s="40"/>
      <c r="P23" s="40"/>
    </row>
    <row r="24" spans="3:24" ht="1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V24" s="40"/>
      <c r="W24" s="40"/>
      <c r="X24" s="40"/>
    </row>
    <row r="25" spans="9:24" ht="15">
      <c r="I25" s="61" t="s">
        <v>57</v>
      </c>
      <c r="J25" s="61" t="s">
        <v>8</v>
      </c>
      <c r="V25" s="40"/>
      <c r="W25" s="40"/>
      <c r="X25" s="40"/>
    </row>
    <row r="26" spans="7:25" ht="15">
      <c r="G26" s="335" t="s">
        <v>53</v>
      </c>
      <c r="H26" s="335"/>
      <c r="I26" s="40" t="e">
        <f>H19+K19-L19</f>
        <v>#REF!</v>
      </c>
      <c r="J26" s="40" t="e">
        <f>H23+K23-L23</f>
        <v>#REF!</v>
      </c>
      <c r="K26" s="40"/>
      <c r="L26" s="40"/>
      <c r="Y26" s="40"/>
    </row>
    <row r="27" spans="7:12" ht="15">
      <c r="G27" s="335" t="s">
        <v>54</v>
      </c>
      <c r="H27" s="335"/>
      <c r="I27" s="40" t="e">
        <f>I26*0.06</f>
        <v>#REF!</v>
      </c>
      <c r="J27" s="40" t="e">
        <f>J26*0.06</f>
        <v>#REF!</v>
      </c>
      <c r="K27" s="40"/>
      <c r="L27" s="40"/>
    </row>
    <row r="28" spans="7:17" ht="15">
      <c r="G28" s="335" t="s">
        <v>55</v>
      </c>
      <c r="H28" s="335"/>
      <c r="I28" s="40" t="e">
        <f>H19*0.02</f>
        <v>#REF!</v>
      </c>
      <c r="J28" s="40" t="e">
        <f>H23*0.02</f>
        <v>#REF!</v>
      </c>
      <c r="K28" s="40"/>
      <c r="L28" s="40"/>
      <c r="Q28" s="48"/>
    </row>
    <row r="29" spans="7:12" ht="15.75" thickBot="1">
      <c r="G29" s="335" t="s">
        <v>36</v>
      </c>
      <c r="H29" s="335"/>
      <c r="I29" s="44">
        <f>'COP TUXTLA'!S85</f>
        <v>25169.65620299588</v>
      </c>
      <c r="J29" s="44">
        <f>I29</f>
        <v>25169.65620299588</v>
      </c>
      <c r="K29" s="43"/>
      <c r="L29" s="43"/>
    </row>
    <row r="30" spans="7:12" ht="15">
      <c r="G30" s="335" t="s">
        <v>30</v>
      </c>
      <c r="H30" s="335"/>
      <c r="I30" s="40" t="e">
        <f>SUM(I26:I29)</f>
        <v>#REF!</v>
      </c>
      <c r="J30" s="40" t="e">
        <f>SUM(J26:J29)</f>
        <v>#REF!</v>
      </c>
      <c r="K30" s="54"/>
      <c r="L30" s="54"/>
    </row>
    <row r="31" spans="7:12" ht="15.75" thickBot="1">
      <c r="G31" s="335" t="s">
        <v>62</v>
      </c>
      <c r="H31" s="335"/>
      <c r="I31" s="42" t="e">
        <f>I30*0.16</f>
        <v>#REF!</v>
      </c>
      <c r="J31" s="42" t="e">
        <f>J30*0.16</f>
        <v>#REF!</v>
      </c>
      <c r="K31" s="54"/>
      <c r="L31" s="54"/>
    </row>
    <row r="32" spans="7:12" ht="15">
      <c r="G32" s="335" t="s">
        <v>8</v>
      </c>
      <c r="H32" s="335"/>
      <c r="I32" s="40" t="e">
        <f>I30+I31</f>
        <v>#REF!</v>
      </c>
      <c r="J32" s="40" t="e">
        <f>J30+J31</f>
        <v>#REF!</v>
      </c>
      <c r="K32" s="54"/>
      <c r="L32" s="54"/>
    </row>
    <row r="33" ht="15">
      <c r="J33" s="40"/>
    </row>
    <row r="34" ht="15">
      <c r="J34" s="40" t="e">
        <f>J32+J33</f>
        <v>#REF!</v>
      </c>
    </row>
    <row r="36" spans="7:11" ht="15">
      <c r="G36" s="52"/>
      <c r="H36" s="53"/>
      <c r="I36" s="53"/>
      <c r="J36" s="53"/>
      <c r="K36" s="53"/>
    </row>
    <row r="38" ht="15">
      <c r="M38" s="40"/>
    </row>
    <row r="39" ht="15">
      <c r="M39" s="40"/>
    </row>
    <row r="40" ht="15">
      <c r="M40" s="40"/>
    </row>
  </sheetData>
  <sheetProtection/>
  <mergeCells count="30">
    <mergeCell ref="I4:I5"/>
    <mergeCell ref="J4:N4"/>
    <mergeCell ref="O4:O5"/>
    <mergeCell ref="G32:H32"/>
    <mergeCell ref="G26:H26"/>
    <mergeCell ref="G27:H27"/>
    <mergeCell ref="G28:H28"/>
    <mergeCell ref="G29:H29"/>
    <mergeCell ref="G30:H30"/>
    <mergeCell ref="G31:H31"/>
    <mergeCell ref="F4:F5"/>
    <mergeCell ref="G4:G5"/>
    <mergeCell ref="H4:H5"/>
    <mergeCell ref="W4:X4"/>
    <mergeCell ref="A6:B6"/>
    <mergeCell ref="C17:G17"/>
    <mergeCell ref="H17:H18"/>
    <mergeCell ref="I17:M17"/>
    <mergeCell ref="N17:N18"/>
    <mergeCell ref="P17:P18"/>
    <mergeCell ref="P4:T4"/>
    <mergeCell ref="U4:U5"/>
    <mergeCell ref="V4:V5"/>
    <mergeCell ref="A2:I2"/>
    <mergeCell ref="A3:I3"/>
    <mergeCell ref="A4:A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" footer="0"/>
  <pageSetup horizontalDpi="120" verticalDpi="120" orientation="landscape" scale="70" r:id="rId1"/>
  <ignoredErrors>
    <ignoredError sqref="K8 K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AC36"/>
  <sheetViews>
    <sheetView view="pageBreakPreview" zoomScale="60" zoomScalePageLayoutView="0" workbookViewId="0" topLeftCell="A1">
      <pane xSplit="2" topLeftCell="I1" activePane="topRight" state="frozen"/>
      <selection pane="topLeft" activeCell="A4" sqref="A4"/>
      <selection pane="topRight" activeCell="T7" sqref="T7"/>
    </sheetView>
  </sheetViews>
  <sheetFormatPr defaultColWidth="11.421875" defaultRowHeight="15"/>
  <cols>
    <col min="1" max="1" width="7.57421875" style="122" customWidth="1"/>
    <col min="2" max="2" width="38.57421875" style="0" customWidth="1"/>
    <col min="3" max="3" width="16.57421875" style="0" customWidth="1"/>
    <col min="4" max="4" width="13.00390625" style="0" customWidth="1"/>
    <col min="5" max="5" width="20.421875" style="0" customWidth="1"/>
    <col min="6" max="6" width="24.7109375" style="123" customWidth="1"/>
    <col min="7" max="7" width="13.00390625" style="123" customWidth="1"/>
    <col min="8" max="8" width="18.421875" style="0" customWidth="1"/>
    <col min="9" max="9" width="15.57421875" style="0" customWidth="1"/>
    <col min="10" max="10" width="14.7109375" style="0" customWidth="1"/>
    <col min="11" max="11" width="14.421875" style="0" customWidth="1"/>
    <col min="12" max="12" width="14.8515625" style="0" customWidth="1"/>
    <col min="13" max="13" width="18.00390625" style="0" customWidth="1"/>
    <col min="14" max="14" width="13.00390625" style="0" customWidth="1"/>
    <col min="15" max="15" width="20.57421875" style="0" customWidth="1"/>
    <col min="16" max="19" width="13.00390625" style="0" customWidth="1"/>
    <col min="20" max="22" width="15.8515625" style="0" customWidth="1"/>
    <col min="23" max="23" width="14.140625" style="0" customWidth="1"/>
  </cols>
  <sheetData>
    <row r="2" spans="1:9" ht="15">
      <c r="A2" s="343" t="s">
        <v>32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344" t="s">
        <v>143</v>
      </c>
      <c r="B3" s="344"/>
      <c r="C3" s="344"/>
      <c r="D3" s="344"/>
      <c r="E3" s="344"/>
      <c r="F3" s="344"/>
      <c r="G3" s="344"/>
      <c r="H3" s="344"/>
      <c r="I3" s="344"/>
    </row>
    <row r="4" spans="1:25" ht="15">
      <c r="A4" s="331" t="s">
        <v>33</v>
      </c>
      <c r="B4" s="331" t="s">
        <v>34</v>
      </c>
      <c r="C4" s="331" t="s">
        <v>37</v>
      </c>
      <c r="D4" s="331" t="s">
        <v>38</v>
      </c>
      <c r="E4" s="331" t="s">
        <v>31</v>
      </c>
      <c r="F4" s="336" t="s">
        <v>35</v>
      </c>
      <c r="G4" s="336" t="s">
        <v>1</v>
      </c>
      <c r="H4" s="331" t="s">
        <v>39</v>
      </c>
      <c r="I4" s="331" t="s">
        <v>0</v>
      </c>
      <c r="J4" s="332" t="s">
        <v>40</v>
      </c>
      <c r="K4" s="333"/>
      <c r="L4" s="333"/>
      <c r="M4" s="331" t="s">
        <v>147</v>
      </c>
      <c r="N4" s="339" t="s">
        <v>2</v>
      </c>
      <c r="O4" s="339"/>
      <c r="P4" s="339"/>
      <c r="Q4" s="339"/>
      <c r="R4" s="339"/>
      <c r="S4" s="331" t="s">
        <v>50</v>
      </c>
      <c r="T4" s="331" t="s">
        <v>51</v>
      </c>
      <c r="U4" s="337" t="s">
        <v>2</v>
      </c>
      <c r="V4" s="337"/>
      <c r="W4" s="51"/>
      <c r="X4" s="50"/>
      <c r="Y4" s="50"/>
    </row>
    <row r="5" spans="1:23" ht="30.75" customHeight="1">
      <c r="A5" s="331"/>
      <c r="B5" s="331"/>
      <c r="C5" s="331"/>
      <c r="D5" s="331"/>
      <c r="E5" s="331"/>
      <c r="F5" s="336"/>
      <c r="G5" s="336"/>
      <c r="H5" s="331"/>
      <c r="I5" s="331"/>
      <c r="J5" s="33" t="s">
        <v>144</v>
      </c>
      <c r="K5" s="34" t="s">
        <v>145</v>
      </c>
      <c r="L5" s="34" t="s">
        <v>146</v>
      </c>
      <c r="M5" s="331"/>
      <c r="N5" s="34" t="s">
        <v>45</v>
      </c>
      <c r="O5" s="34" t="s">
        <v>46</v>
      </c>
      <c r="P5" s="34" t="s">
        <v>47</v>
      </c>
      <c r="Q5" s="34" t="s">
        <v>48</v>
      </c>
      <c r="R5" s="34" t="s">
        <v>49</v>
      </c>
      <c r="S5" s="331"/>
      <c r="T5" s="331"/>
      <c r="U5" s="33" t="s">
        <v>91</v>
      </c>
      <c r="V5" s="33" t="s">
        <v>77</v>
      </c>
      <c r="W5" s="34" t="s">
        <v>70</v>
      </c>
    </row>
    <row r="6" spans="1:29" ht="15">
      <c r="A6" s="338" t="s">
        <v>56</v>
      </c>
      <c r="B6" s="338"/>
      <c r="C6" s="26"/>
      <c r="D6" s="26"/>
      <c r="E6" s="26"/>
      <c r="F6" s="35"/>
      <c r="G6" s="35"/>
      <c r="H6" s="26"/>
      <c r="I6" s="26"/>
      <c r="J6" s="26"/>
      <c r="K6" s="26"/>
      <c r="L6" s="26"/>
      <c r="M6" s="26"/>
      <c r="N6" s="39"/>
      <c r="O6" s="39"/>
      <c r="P6" s="39"/>
      <c r="Q6" s="39"/>
      <c r="R6" s="39"/>
      <c r="S6" s="39"/>
      <c r="T6" s="39"/>
      <c r="U6" s="39"/>
      <c r="V6" s="39"/>
      <c r="W6" s="25"/>
      <c r="X6" s="25"/>
      <c r="Y6" s="25"/>
      <c r="Z6" s="25"/>
      <c r="AA6" s="25"/>
      <c r="AB6" s="25"/>
      <c r="AC6" s="25"/>
    </row>
    <row r="7" spans="1:29" ht="15">
      <c r="A7" s="32" t="s">
        <v>57</v>
      </c>
      <c r="B7" s="28" t="s">
        <v>58</v>
      </c>
      <c r="C7" s="29">
        <v>71027104935</v>
      </c>
      <c r="D7" s="30"/>
      <c r="E7" s="36" t="s">
        <v>75</v>
      </c>
      <c r="F7" s="36" t="s">
        <v>76</v>
      </c>
      <c r="G7" s="31" t="e">
        <f>#REF!</f>
        <v>#REF!</v>
      </c>
      <c r="H7" s="31" t="e">
        <f>#REF!</f>
        <v>#REF!</v>
      </c>
      <c r="I7" s="55">
        <v>16</v>
      </c>
      <c r="J7" s="38" t="e">
        <f>'15febrero'!O7</f>
        <v>#REF!</v>
      </c>
      <c r="K7" s="38" t="e">
        <f>#REF!</f>
        <v>#REF!</v>
      </c>
      <c r="L7" s="38" t="e">
        <f>'29febrero'!O7</f>
        <v>#REF!</v>
      </c>
      <c r="M7" s="38" t="e">
        <f aca="true" t="shared" si="0" ref="M7:M14">SUM(J7:L7)</f>
        <v>#REF!</v>
      </c>
      <c r="N7" s="31">
        <v>287.03</v>
      </c>
      <c r="O7" s="31">
        <v>354.23</v>
      </c>
      <c r="P7" s="31">
        <v>0</v>
      </c>
      <c r="Q7" s="31">
        <f>N7-O7</f>
        <v>-67.20000000000005</v>
      </c>
      <c r="R7" s="31"/>
      <c r="S7" s="31">
        <f>P7+Q7+R7</f>
        <v>-67.20000000000005</v>
      </c>
      <c r="T7" s="95" t="e">
        <f>M7-S7</f>
        <v>#REF!</v>
      </c>
      <c r="U7" s="31"/>
      <c r="V7" s="31" t="e">
        <f aca="true" t="shared" si="1" ref="V7:V14">T7-U7</f>
        <v>#REF!</v>
      </c>
      <c r="W7" s="104">
        <v>2701986570</v>
      </c>
      <c r="X7" s="40"/>
      <c r="Y7" s="56"/>
      <c r="Z7" s="25"/>
      <c r="AA7" s="25"/>
      <c r="AB7" s="25"/>
      <c r="AC7" s="25"/>
    </row>
    <row r="8" spans="1:29" ht="15">
      <c r="A8" s="32" t="s">
        <v>57</v>
      </c>
      <c r="B8" s="28" t="s">
        <v>67</v>
      </c>
      <c r="C8" s="29">
        <v>71008312234</v>
      </c>
      <c r="D8" s="30"/>
      <c r="E8" s="36" t="s">
        <v>73</v>
      </c>
      <c r="F8" s="36" t="s">
        <v>78</v>
      </c>
      <c r="G8" s="31" t="e">
        <f>#REF!</f>
        <v>#REF!</v>
      </c>
      <c r="H8" s="31" t="e">
        <f>#REF!</f>
        <v>#REF!</v>
      </c>
      <c r="I8" s="55">
        <v>16</v>
      </c>
      <c r="J8" s="38" t="e">
        <f>'15febrero'!O8</f>
        <v>#REF!</v>
      </c>
      <c r="K8" s="38" t="e">
        <f>#REF!</f>
        <v>#REF!</v>
      </c>
      <c r="L8" s="38" t="e">
        <f>'29febrero'!O8</f>
        <v>#REF!</v>
      </c>
      <c r="M8" s="38" t="e">
        <f t="shared" si="0"/>
        <v>#REF!</v>
      </c>
      <c r="N8" s="31">
        <v>228.34</v>
      </c>
      <c r="O8" s="31">
        <v>382.46</v>
      </c>
      <c r="P8" s="31">
        <v>0</v>
      </c>
      <c r="Q8" s="31">
        <f aca="true" t="shared" si="2" ref="Q8:Q14">N8-O8</f>
        <v>-154.11999999999998</v>
      </c>
      <c r="R8" s="31"/>
      <c r="S8" s="31">
        <f aca="true" t="shared" si="3" ref="S8:S14">P8+Q8+R8</f>
        <v>-154.11999999999998</v>
      </c>
      <c r="T8" s="95" t="e">
        <f aca="true" t="shared" si="4" ref="T8:T14">M8-S8</f>
        <v>#REF!</v>
      </c>
      <c r="U8" s="31"/>
      <c r="V8" s="31" t="e">
        <f t="shared" si="1"/>
        <v>#REF!</v>
      </c>
      <c r="W8" s="104">
        <v>2714169778</v>
      </c>
      <c r="X8" s="40"/>
      <c r="Y8" s="56"/>
      <c r="Z8" s="25"/>
      <c r="AA8" s="25"/>
      <c r="AB8" s="25"/>
      <c r="AC8" s="25"/>
    </row>
    <row r="9" spans="1:29" ht="15">
      <c r="A9" s="32" t="s">
        <v>57</v>
      </c>
      <c r="B9" s="28" t="s">
        <v>68</v>
      </c>
      <c r="C9" s="29">
        <v>71088919221</v>
      </c>
      <c r="D9" s="30"/>
      <c r="E9" s="36" t="s">
        <v>71</v>
      </c>
      <c r="F9" s="36" t="s">
        <v>72</v>
      </c>
      <c r="G9" s="31" t="e">
        <f>#REF!</f>
        <v>#REF!</v>
      </c>
      <c r="H9" s="31" t="e">
        <f>#REF!</f>
        <v>#REF!</v>
      </c>
      <c r="I9" s="55">
        <v>16</v>
      </c>
      <c r="J9" s="38" t="e">
        <f>'15febrero'!O9</f>
        <v>#REF!</v>
      </c>
      <c r="K9" s="38" t="e">
        <f>#REF!</f>
        <v>#REF!</v>
      </c>
      <c r="L9" s="38" t="e">
        <f>'29febrero'!O9</f>
        <v>#REF!</v>
      </c>
      <c r="M9" s="38" t="e">
        <f t="shared" si="0"/>
        <v>#REF!</v>
      </c>
      <c r="N9" s="31">
        <v>230.38</v>
      </c>
      <c r="O9" s="31">
        <v>382.46</v>
      </c>
      <c r="P9" s="31">
        <v>0</v>
      </c>
      <c r="Q9" s="31">
        <f t="shared" si="2"/>
        <v>-152.07999999999998</v>
      </c>
      <c r="R9" s="31"/>
      <c r="S9" s="31">
        <f t="shared" si="3"/>
        <v>-152.07999999999998</v>
      </c>
      <c r="T9" s="95" t="e">
        <f t="shared" si="4"/>
        <v>#REF!</v>
      </c>
      <c r="U9" s="31"/>
      <c r="V9" s="31" t="e">
        <f t="shared" si="1"/>
        <v>#REF!</v>
      </c>
      <c r="W9" s="104">
        <v>2715849675</v>
      </c>
      <c r="X9" s="40"/>
      <c r="Y9" s="56"/>
      <c r="Z9" s="25"/>
      <c r="AA9" s="25"/>
      <c r="AB9" s="25"/>
      <c r="AC9" s="25"/>
    </row>
    <row r="10" spans="1:29" ht="15">
      <c r="A10" s="32" t="s">
        <v>57</v>
      </c>
      <c r="B10" s="28" t="s">
        <v>69</v>
      </c>
      <c r="C10" s="29">
        <v>71038419710</v>
      </c>
      <c r="D10" s="30"/>
      <c r="E10" s="36" t="s">
        <v>74</v>
      </c>
      <c r="F10" s="36" t="s">
        <v>79</v>
      </c>
      <c r="G10" s="31" t="e">
        <f>#REF!</f>
        <v>#REF!</v>
      </c>
      <c r="H10" s="31" t="e">
        <f>#REF!</f>
        <v>#REF!</v>
      </c>
      <c r="I10" s="55">
        <v>16</v>
      </c>
      <c r="J10" s="38" t="e">
        <f>'15febrero'!O10</f>
        <v>#REF!</v>
      </c>
      <c r="K10" s="38" t="e">
        <f>#REF!</f>
        <v>#REF!</v>
      </c>
      <c r="L10" s="38" t="e">
        <f>'29febrero'!O10</f>
        <v>#REF!</v>
      </c>
      <c r="M10" s="38" t="e">
        <f t="shared" si="0"/>
        <v>#REF!</v>
      </c>
      <c r="N10" s="31">
        <v>274.18</v>
      </c>
      <c r="O10" s="31">
        <v>354.23</v>
      </c>
      <c r="P10" s="31">
        <v>0</v>
      </c>
      <c r="Q10" s="31">
        <f t="shared" si="2"/>
        <v>-80.05000000000001</v>
      </c>
      <c r="R10" s="31"/>
      <c r="S10" s="31">
        <f t="shared" si="3"/>
        <v>-80.05000000000001</v>
      </c>
      <c r="T10" s="95" t="e">
        <f t="shared" si="4"/>
        <v>#REF!</v>
      </c>
      <c r="U10" s="31"/>
      <c r="V10" s="31" t="e">
        <f t="shared" si="1"/>
        <v>#REF!</v>
      </c>
      <c r="W10" s="105">
        <v>2714169867</v>
      </c>
      <c r="X10" s="40"/>
      <c r="Y10" s="56"/>
      <c r="Z10" s="25"/>
      <c r="AA10" s="25"/>
      <c r="AB10" s="25"/>
      <c r="AC10" s="25"/>
    </row>
    <row r="11" spans="1:29" ht="15">
      <c r="A11" s="32" t="s">
        <v>57</v>
      </c>
      <c r="B11" s="28" t="s">
        <v>81</v>
      </c>
      <c r="C11" s="29">
        <v>71108622383</v>
      </c>
      <c r="D11" s="30"/>
      <c r="E11" s="36" t="s">
        <v>82</v>
      </c>
      <c r="F11" s="36" t="s">
        <v>83</v>
      </c>
      <c r="G11" s="31" t="e">
        <f>#REF!</f>
        <v>#REF!</v>
      </c>
      <c r="H11" s="31" t="e">
        <f>#REF!</f>
        <v>#REF!</v>
      </c>
      <c r="I11" s="55">
        <v>16</v>
      </c>
      <c r="J11" s="38" t="e">
        <f>'15febrero'!#REF!</f>
        <v>#REF!</v>
      </c>
      <c r="K11" s="38"/>
      <c r="L11" s="38" t="e">
        <f>'29febrero'!#REF!</f>
        <v>#REF!</v>
      </c>
      <c r="M11" s="38" t="e">
        <f t="shared" si="0"/>
        <v>#REF!</v>
      </c>
      <c r="N11" s="31">
        <v>145.14</v>
      </c>
      <c r="O11" s="31">
        <v>406.83</v>
      </c>
      <c r="P11" s="31">
        <v>0</v>
      </c>
      <c r="Q11" s="31">
        <f t="shared" si="2"/>
        <v>-261.69</v>
      </c>
      <c r="R11" s="31"/>
      <c r="S11" s="31">
        <f t="shared" si="3"/>
        <v>-261.69</v>
      </c>
      <c r="T11" s="95" t="e">
        <f t="shared" si="4"/>
        <v>#REF!</v>
      </c>
      <c r="U11" s="31"/>
      <c r="V11" s="31" t="e">
        <f t="shared" si="1"/>
        <v>#REF!</v>
      </c>
      <c r="W11" s="106">
        <v>2753982734</v>
      </c>
      <c r="X11" s="40"/>
      <c r="Y11" s="57"/>
      <c r="Z11" s="25"/>
      <c r="AA11" s="25"/>
      <c r="AB11" s="25"/>
      <c r="AC11" s="25"/>
    </row>
    <row r="12" spans="1:29" ht="15">
      <c r="A12" s="32" t="s">
        <v>57</v>
      </c>
      <c r="B12" s="28" t="s">
        <v>84</v>
      </c>
      <c r="C12" s="63">
        <v>71119500743</v>
      </c>
      <c r="D12" s="30"/>
      <c r="E12" s="36" t="s">
        <v>88</v>
      </c>
      <c r="F12" s="36" t="s">
        <v>89</v>
      </c>
      <c r="G12" s="31" t="e">
        <f>#REF!</f>
        <v>#REF!</v>
      </c>
      <c r="H12" s="31" t="e">
        <f>#REF!</f>
        <v>#REF!</v>
      </c>
      <c r="I12" s="55">
        <v>16</v>
      </c>
      <c r="J12" s="38" t="e">
        <f>'15febrero'!O11</f>
        <v>#REF!</v>
      </c>
      <c r="K12" s="38"/>
      <c r="L12" s="38" t="e">
        <f>'29febrero'!O11</f>
        <v>#REF!</v>
      </c>
      <c r="M12" s="38" t="e">
        <f t="shared" si="0"/>
        <v>#REF!</v>
      </c>
      <c r="N12" s="31">
        <v>145.14</v>
      </c>
      <c r="O12" s="31">
        <v>406.83</v>
      </c>
      <c r="P12" s="31">
        <v>0</v>
      </c>
      <c r="Q12" s="31">
        <f t="shared" si="2"/>
        <v>-261.69</v>
      </c>
      <c r="R12" s="31"/>
      <c r="S12" s="31">
        <f t="shared" si="3"/>
        <v>-261.69</v>
      </c>
      <c r="T12" s="95" t="e">
        <f t="shared" si="4"/>
        <v>#REF!</v>
      </c>
      <c r="U12" s="31"/>
      <c r="V12" s="31" t="e">
        <f t="shared" si="1"/>
        <v>#REF!</v>
      </c>
      <c r="W12" s="106">
        <v>2758909075</v>
      </c>
      <c r="X12" s="40"/>
      <c r="Y12" s="25"/>
      <c r="Z12" s="25"/>
      <c r="AA12" s="25"/>
      <c r="AB12" s="25"/>
      <c r="AC12" s="25"/>
    </row>
    <row r="13" spans="1:29" ht="15">
      <c r="A13" s="32" t="s">
        <v>57</v>
      </c>
      <c r="B13" s="28" t="s">
        <v>92</v>
      </c>
      <c r="C13" s="63">
        <v>71068425785</v>
      </c>
      <c r="D13" s="30"/>
      <c r="E13" s="36" t="s">
        <v>95</v>
      </c>
      <c r="F13" s="36" t="s">
        <v>94</v>
      </c>
      <c r="G13" s="31">
        <v>85.12</v>
      </c>
      <c r="H13" s="31" t="e">
        <f>#REF!</f>
        <v>#REF!</v>
      </c>
      <c r="I13" s="55">
        <v>16</v>
      </c>
      <c r="J13" s="38" t="e">
        <f>'15febrero'!O12</f>
        <v>#REF!</v>
      </c>
      <c r="K13" s="38"/>
      <c r="L13" s="38" t="e">
        <f>'29febrero'!O12</f>
        <v>#REF!</v>
      </c>
      <c r="M13" s="38" t="e">
        <f t="shared" si="0"/>
        <v>#REF!</v>
      </c>
      <c r="N13" s="31">
        <v>222.27</v>
      </c>
      <c r="O13" s="31">
        <v>382.46</v>
      </c>
      <c r="P13" s="31">
        <v>0</v>
      </c>
      <c r="Q13" s="31">
        <f t="shared" si="2"/>
        <v>-160.18999999999997</v>
      </c>
      <c r="R13" s="31"/>
      <c r="S13" s="31">
        <f t="shared" si="3"/>
        <v>-160.18999999999997</v>
      </c>
      <c r="T13" s="95" t="e">
        <f t="shared" si="4"/>
        <v>#REF!</v>
      </c>
      <c r="U13" s="31"/>
      <c r="V13" s="31" t="e">
        <f t="shared" si="1"/>
        <v>#REF!</v>
      </c>
      <c r="W13" s="103">
        <v>2783684466</v>
      </c>
      <c r="X13" s="40"/>
      <c r="Y13" s="25"/>
      <c r="Z13" s="25"/>
      <c r="AA13" s="25"/>
      <c r="AB13" s="25"/>
      <c r="AC13" s="25"/>
    </row>
    <row r="14" spans="1:29" ht="15">
      <c r="A14" s="32" t="s">
        <v>57</v>
      </c>
      <c r="B14" s="28" t="s">
        <v>87</v>
      </c>
      <c r="C14" s="29">
        <v>71098933956</v>
      </c>
      <c r="D14" s="30" t="s">
        <v>59</v>
      </c>
      <c r="E14" s="36" t="s">
        <v>85</v>
      </c>
      <c r="F14" s="36" t="s">
        <v>86</v>
      </c>
      <c r="G14" s="31">
        <v>85.12</v>
      </c>
      <c r="H14" s="31" t="e">
        <f>#REF!</f>
        <v>#REF!</v>
      </c>
      <c r="I14" s="55">
        <v>16</v>
      </c>
      <c r="J14" s="38" t="e">
        <f>'15febrero'!O13</f>
        <v>#REF!</v>
      </c>
      <c r="K14" s="38" t="e">
        <f>#REF!</f>
        <v>#REF!</v>
      </c>
      <c r="L14" s="38" t="e">
        <f>'29febrero'!O13</f>
        <v>#REF!</v>
      </c>
      <c r="M14" s="38" t="e">
        <f t="shared" si="0"/>
        <v>#REF!</v>
      </c>
      <c r="N14" s="31">
        <v>230.37</v>
      </c>
      <c r="O14" s="31">
        <v>382.46</v>
      </c>
      <c r="P14" s="31">
        <v>0</v>
      </c>
      <c r="Q14" s="31">
        <f t="shared" si="2"/>
        <v>-152.08999999999997</v>
      </c>
      <c r="R14" s="31"/>
      <c r="S14" s="31">
        <f t="shared" si="3"/>
        <v>-152.08999999999997</v>
      </c>
      <c r="T14" s="95" t="e">
        <f t="shared" si="4"/>
        <v>#REF!</v>
      </c>
      <c r="U14" s="31"/>
      <c r="V14" s="31" t="e">
        <f t="shared" si="1"/>
        <v>#REF!</v>
      </c>
      <c r="W14" s="106">
        <v>2710232416</v>
      </c>
      <c r="X14" s="40"/>
      <c r="Y14" s="25"/>
      <c r="Z14" s="25"/>
      <c r="AA14" s="25"/>
      <c r="AB14" s="25"/>
      <c r="AC14" s="25"/>
    </row>
    <row r="15" spans="1:23" ht="15">
      <c r="A15" s="27"/>
      <c r="B15" s="25"/>
      <c r="C15" s="25"/>
      <c r="D15" s="25"/>
      <c r="E15" s="37"/>
      <c r="F15" s="37"/>
      <c r="G15" s="25"/>
      <c r="H15" s="49"/>
      <c r="I15" s="122"/>
      <c r="J15" s="41" t="e">
        <f aca="true" t="shared" si="5" ref="J15:V15">SUM(J7:J14)</f>
        <v>#REF!</v>
      </c>
      <c r="K15" s="41" t="e">
        <f t="shared" si="5"/>
        <v>#REF!</v>
      </c>
      <c r="L15" s="41" t="e">
        <f t="shared" si="5"/>
        <v>#REF!</v>
      </c>
      <c r="M15" s="41" t="e">
        <f t="shared" si="5"/>
        <v>#REF!</v>
      </c>
      <c r="N15" s="41">
        <f t="shared" si="5"/>
        <v>1762.85</v>
      </c>
      <c r="O15" s="41">
        <f t="shared" si="5"/>
        <v>3051.96</v>
      </c>
      <c r="P15" s="41">
        <f t="shared" si="5"/>
        <v>0</v>
      </c>
      <c r="Q15" s="41">
        <f t="shared" si="5"/>
        <v>-1289.11</v>
      </c>
      <c r="R15" s="41">
        <f t="shared" si="5"/>
        <v>0</v>
      </c>
      <c r="S15" s="41">
        <f t="shared" si="5"/>
        <v>-1289.11</v>
      </c>
      <c r="T15" s="41" t="e">
        <f t="shared" si="5"/>
        <v>#REF!</v>
      </c>
      <c r="U15" s="41">
        <f>SUM(U7:U14)</f>
        <v>0</v>
      </c>
      <c r="V15" s="41" t="e">
        <f t="shared" si="5"/>
        <v>#REF!</v>
      </c>
      <c r="W15" s="25"/>
    </row>
    <row r="16" spans="9:21" ht="25.5" customHeight="1">
      <c r="I16" s="122"/>
      <c r="U16" s="62"/>
    </row>
    <row r="17" spans="3:22" ht="15" customHeight="1">
      <c r="C17" s="339" t="s">
        <v>40</v>
      </c>
      <c r="D17" s="339"/>
      <c r="E17" s="339"/>
      <c r="F17" s="339"/>
      <c r="G17" s="339"/>
      <c r="H17" s="331" t="s">
        <v>44</v>
      </c>
      <c r="I17" s="332" t="s">
        <v>2</v>
      </c>
      <c r="J17" s="333"/>
      <c r="K17" s="333"/>
      <c r="L17" s="333"/>
      <c r="M17" s="33"/>
      <c r="N17" s="341" t="s">
        <v>51</v>
      </c>
      <c r="U17" s="62" t="s">
        <v>97</v>
      </c>
      <c r="V17" s="40"/>
    </row>
    <row r="18" spans="3:21" ht="22.5">
      <c r="C18" s="33" t="s">
        <v>41</v>
      </c>
      <c r="D18" s="34" t="s">
        <v>52</v>
      </c>
      <c r="E18" s="34" t="s">
        <v>42</v>
      </c>
      <c r="F18" s="45" t="s">
        <v>43</v>
      </c>
      <c r="G18" s="34" t="s">
        <v>61</v>
      </c>
      <c r="H18" s="340"/>
      <c r="I18" s="34" t="s">
        <v>45</v>
      </c>
      <c r="J18" s="34" t="s">
        <v>46</v>
      </c>
      <c r="K18" s="34" t="s">
        <v>47</v>
      </c>
      <c r="L18" s="34" t="s">
        <v>48</v>
      </c>
      <c r="M18" s="33"/>
      <c r="N18" s="342"/>
      <c r="S18" s="40"/>
      <c r="U18" s="62"/>
    </row>
    <row r="19" spans="2:22" ht="15">
      <c r="B19" t="s">
        <v>80</v>
      </c>
      <c r="C19" s="43" t="e">
        <f>J15</f>
        <v>#REF!</v>
      </c>
      <c r="D19" s="43" t="e">
        <f>K15</f>
        <v>#REF!</v>
      </c>
      <c r="E19" s="43" t="e">
        <f>L15</f>
        <v>#REF!</v>
      </c>
      <c r="F19" s="43" t="e">
        <f>#REF!</f>
        <v>#REF!</v>
      </c>
      <c r="G19" s="46" t="e">
        <f>#REF!</f>
        <v>#REF!</v>
      </c>
      <c r="H19" s="43" t="e">
        <f>M15</f>
        <v>#REF!</v>
      </c>
      <c r="I19" s="43">
        <f>N15</f>
        <v>1762.85</v>
      </c>
      <c r="J19" s="43">
        <f>O15</f>
        <v>3051.96</v>
      </c>
      <c r="K19" s="43">
        <f>P15</f>
        <v>0</v>
      </c>
      <c r="L19" s="43">
        <f>Q15</f>
        <v>-1289.11</v>
      </c>
      <c r="M19" s="43"/>
      <c r="N19" s="43" t="e">
        <f>T15</f>
        <v>#REF!</v>
      </c>
      <c r="T19" s="40"/>
      <c r="U19" s="40"/>
      <c r="V19" s="40"/>
    </row>
    <row r="20" spans="3:19" ht="15">
      <c r="C20" s="40"/>
      <c r="D20" s="40"/>
      <c r="E20" s="40"/>
      <c r="F20" s="40"/>
      <c r="H20" s="40"/>
      <c r="I20" s="40"/>
      <c r="J20" s="40"/>
      <c r="K20" s="40"/>
      <c r="L20" s="40"/>
      <c r="M20" s="40"/>
      <c r="N20" s="40"/>
      <c r="S20" s="40"/>
    </row>
    <row r="21" spans="3:22" ht="15">
      <c r="C21" s="40"/>
      <c r="D21" s="40"/>
      <c r="E21" s="40"/>
      <c r="F21" s="40"/>
      <c r="H21" s="40"/>
      <c r="I21" s="40"/>
      <c r="J21" s="40"/>
      <c r="K21" s="40"/>
      <c r="L21" s="40"/>
      <c r="M21" s="40"/>
      <c r="N21" s="40"/>
      <c r="S21" s="48"/>
      <c r="T21" s="40"/>
      <c r="U21" s="40"/>
      <c r="V21" s="40"/>
    </row>
    <row r="22" spans="3:14" ht="15">
      <c r="C22" s="40"/>
      <c r="D22" s="40"/>
      <c r="E22" s="40"/>
      <c r="F22" s="40"/>
      <c r="H22" s="40"/>
      <c r="I22" s="40"/>
      <c r="J22" s="40"/>
      <c r="K22" s="40"/>
      <c r="L22" s="40"/>
      <c r="M22" s="40"/>
      <c r="N22" s="40"/>
    </row>
    <row r="23" spans="3:14" ht="15">
      <c r="C23" s="40" t="e">
        <f>SUM(C19:C22)</f>
        <v>#REF!</v>
      </c>
      <c r="D23" s="40" t="e">
        <f>SUM(D19:D22)</f>
        <v>#REF!</v>
      </c>
      <c r="E23" s="40" t="e">
        <f>SUM(E19:E22)</f>
        <v>#REF!</v>
      </c>
      <c r="F23" s="40" t="e">
        <f>SUM(F19:F22)</f>
        <v>#REF!</v>
      </c>
      <c r="H23" s="40" t="e">
        <f>SUM(H19:H22)</f>
        <v>#REF!</v>
      </c>
      <c r="I23" s="40">
        <f>SUM(I19:I22)</f>
        <v>1762.85</v>
      </c>
      <c r="J23" s="40">
        <f>SUM(J19:J22)</f>
        <v>3051.96</v>
      </c>
      <c r="K23" s="40">
        <f>SUM(K19:K22)</f>
        <v>0</v>
      </c>
      <c r="L23" s="40">
        <f>SUM(L19:L22)</f>
        <v>-1289.11</v>
      </c>
      <c r="M23" s="40"/>
      <c r="N23" s="40"/>
    </row>
    <row r="24" spans="3:22" ht="1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T24" s="40"/>
      <c r="U24" s="40"/>
      <c r="V24" s="40"/>
    </row>
    <row r="25" spans="7:22" ht="15">
      <c r="G25" s="344" t="s">
        <v>141</v>
      </c>
      <c r="H25" s="345"/>
      <c r="I25" s="61" t="s">
        <v>57</v>
      </c>
      <c r="J25" s="61" t="s">
        <v>8</v>
      </c>
      <c r="T25" s="40"/>
      <c r="U25" s="40"/>
      <c r="V25" s="40"/>
    </row>
    <row r="26" spans="7:23" ht="15">
      <c r="G26" s="335" t="s">
        <v>53</v>
      </c>
      <c r="H26" s="335"/>
      <c r="I26" s="40" t="e">
        <f>H19+K19-L19</f>
        <v>#REF!</v>
      </c>
      <c r="J26" s="40" t="e">
        <f>H23+K23-L23</f>
        <v>#REF!</v>
      </c>
      <c r="K26" s="40"/>
      <c r="L26" s="40"/>
      <c r="W26" s="40"/>
    </row>
    <row r="27" spans="7:12" ht="15">
      <c r="G27" s="335" t="s">
        <v>54</v>
      </c>
      <c r="H27" s="335"/>
      <c r="I27" s="40" t="e">
        <f>I26*0.06</f>
        <v>#REF!</v>
      </c>
      <c r="J27" s="40" t="e">
        <f>J26*0.06</f>
        <v>#REF!</v>
      </c>
      <c r="K27" s="40"/>
      <c r="L27" s="40"/>
    </row>
    <row r="28" spans="7:15" ht="15">
      <c r="G28" s="335" t="s">
        <v>55</v>
      </c>
      <c r="H28" s="335"/>
      <c r="I28" s="40" t="e">
        <f>H19*0.02</f>
        <v>#REF!</v>
      </c>
      <c r="J28" s="40" t="e">
        <f>H23*0.02</f>
        <v>#REF!</v>
      </c>
      <c r="K28" s="40"/>
      <c r="L28" s="40"/>
      <c r="O28" s="48"/>
    </row>
    <row r="29" spans="7:12" ht="15.75" thickBot="1">
      <c r="G29" s="335" t="s">
        <v>36</v>
      </c>
      <c r="H29" s="335"/>
      <c r="I29" s="44">
        <f>'COP TUXTLA'!S85</f>
        <v>25169.65620299588</v>
      </c>
      <c r="J29" s="44">
        <f>I29</f>
        <v>25169.65620299588</v>
      </c>
      <c r="K29" s="43"/>
      <c r="L29" s="43"/>
    </row>
    <row r="30" spans="7:12" ht="15">
      <c r="G30" s="335" t="s">
        <v>30</v>
      </c>
      <c r="H30" s="335"/>
      <c r="I30" s="40" t="e">
        <f>SUM(I26:I29)</f>
        <v>#REF!</v>
      </c>
      <c r="J30" s="40" t="e">
        <f>SUM(J26:J29)</f>
        <v>#REF!</v>
      </c>
      <c r="K30" s="54"/>
      <c r="L30" s="54"/>
    </row>
    <row r="31" spans="7:12" ht="15.75" thickBot="1">
      <c r="G31" s="335" t="s">
        <v>62</v>
      </c>
      <c r="H31" s="335"/>
      <c r="I31" s="42" t="e">
        <f>I30*0.16</f>
        <v>#REF!</v>
      </c>
      <c r="J31" s="42" t="e">
        <f>J30*0.16</f>
        <v>#REF!</v>
      </c>
      <c r="K31" s="54"/>
      <c r="L31" s="54"/>
    </row>
    <row r="32" spans="7:12" ht="15">
      <c r="G32" s="335" t="s">
        <v>8</v>
      </c>
      <c r="H32" s="335"/>
      <c r="I32" s="40" t="e">
        <f>I30+I31</f>
        <v>#REF!</v>
      </c>
      <c r="J32" s="40" t="e">
        <f>J30+J31</f>
        <v>#REF!</v>
      </c>
      <c r="K32" s="54"/>
      <c r="L32" s="54"/>
    </row>
    <row r="33" ht="15">
      <c r="J33" s="40"/>
    </row>
    <row r="34" ht="15">
      <c r="J34" s="40" t="e">
        <f>J32+J33</f>
        <v>#REF!</v>
      </c>
    </row>
    <row r="36" spans="7:11" ht="15">
      <c r="G36" s="52"/>
      <c r="H36" s="53"/>
      <c r="I36" s="53"/>
      <c r="J36" s="53"/>
      <c r="K36" s="53"/>
    </row>
  </sheetData>
  <sheetProtection/>
  <mergeCells count="30">
    <mergeCell ref="M4:M5"/>
    <mergeCell ref="N4:R4"/>
    <mergeCell ref="G31:H31"/>
    <mergeCell ref="G32:H32"/>
    <mergeCell ref="G25:H25"/>
    <mergeCell ref="G26:H26"/>
    <mergeCell ref="G27:H27"/>
    <mergeCell ref="G28:H28"/>
    <mergeCell ref="G29:H29"/>
    <mergeCell ref="G30:H30"/>
    <mergeCell ref="E4:E5"/>
    <mergeCell ref="F4:F5"/>
    <mergeCell ref="U4:V4"/>
    <mergeCell ref="A6:B6"/>
    <mergeCell ref="C17:G17"/>
    <mergeCell ref="H17:H18"/>
    <mergeCell ref="I17:L17"/>
    <mergeCell ref="N17:N18"/>
    <mergeCell ref="I4:I5"/>
    <mergeCell ref="J4:L4"/>
    <mergeCell ref="G4:G5"/>
    <mergeCell ref="H4:H5"/>
    <mergeCell ref="S4:S5"/>
    <mergeCell ref="T4:T5"/>
    <mergeCell ref="A2:I2"/>
    <mergeCell ref="A3:I3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" footer="0"/>
  <pageSetup horizontalDpi="120" verticalDpi="120" orientation="landscape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Comercial Distribuidora Alfaro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Isaias Alfaro Castellanos</dc:creator>
  <cp:keywords/>
  <dc:description/>
  <cp:lastModifiedBy>CP FELIPE</cp:lastModifiedBy>
  <cp:lastPrinted>2021-04-15T03:08:32Z</cp:lastPrinted>
  <dcterms:created xsi:type="dcterms:W3CDTF">2009-04-18T18:14:52Z</dcterms:created>
  <dcterms:modified xsi:type="dcterms:W3CDTF">2021-04-28T01:11:05Z</dcterms:modified>
  <cp:category/>
  <cp:version/>
  <cp:contentType/>
  <cp:contentStatus/>
</cp:coreProperties>
</file>